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8130" tabRatio="845"/>
  </bookViews>
  <sheets>
    <sheet name="Dzev 3 Շեղում (2)" sheetId="2" r:id="rId1"/>
  </sheets>
  <definedNames>
    <definedName name="_xlnm.Print_Area" localSheetId="0">'Dzev 3 Շեղում (2)'!$A$1:$AJ$182</definedName>
  </definedNames>
  <calcPr calcId="124519"/>
</workbook>
</file>

<file path=xl/calcChain.xml><?xml version="1.0" encoding="utf-8"?>
<calcChain xmlns="http://schemas.openxmlformats.org/spreadsheetml/2006/main">
  <c r="AF176" i="2"/>
  <c r="AE176"/>
  <c r="P176"/>
  <c r="N176"/>
  <c r="M176"/>
  <c r="H176"/>
  <c r="G176"/>
  <c r="C176"/>
  <c r="AJ175"/>
  <c r="AG175"/>
  <c r="W175"/>
  <c r="AA175"/>
  <c r="V175"/>
  <c r="T175"/>
  <c r="S175"/>
  <c r="Q175"/>
  <c r="R175" s="1"/>
  <c r="O175"/>
  <c r="L175"/>
  <c r="I175"/>
  <c r="AJ174"/>
  <c r="AG174"/>
  <c r="W174"/>
  <c r="AA174"/>
  <c r="V174"/>
  <c r="U174"/>
  <c r="Q174"/>
  <c r="R174" s="1"/>
  <c r="O174"/>
  <c r="L174"/>
  <c r="I174"/>
  <c r="D174"/>
  <c r="AJ173"/>
  <c r="AG173"/>
  <c r="W173"/>
  <c r="AA173"/>
  <c r="V173"/>
  <c r="U173"/>
  <c r="Q173"/>
  <c r="R173" s="1"/>
  <c r="O173"/>
  <c r="L173"/>
  <c r="I173"/>
  <c r="D173"/>
  <c r="AJ172"/>
  <c r="AG172"/>
  <c r="W172"/>
  <c r="AA172"/>
  <c r="V172"/>
  <c r="T172"/>
  <c r="S172"/>
  <c r="Q172"/>
  <c r="R172" s="1"/>
  <c r="O172"/>
  <c r="L172"/>
  <c r="I172"/>
  <c r="AJ171"/>
  <c r="AG171"/>
  <c r="W171"/>
  <c r="AA171"/>
  <c r="V171"/>
  <c r="T171"/>
  <c r="S171"/>
  <c r="Q171"/>
  <c r="R171" s="1"/>
  <c r="O171"/>
  <c r="L171"/>
  <c r="I171"/>
  <c r="AJ170"/>
  <c r="AG170"/>
  <c r="W170"/>
  <c r="AA170"/>
  <c r="V170"/>
  <c r="T170"/>
  <c r="S170"/>
  <c r="Q170"/>
  <c r="R170" s="1"/>
  <c r="O170"/>
  <c r="L170"/>
  <c r="I170"/>
  <c r="AJ169"/>
  <c r="AG169"/>
  <c r="W169"/>
  <c r="AA169"/>
  <c r="V169"/>
  <c r="T169"/>
  <c r="S169"/>
  <c r="Q169"/>
  <c r="R169" s="1"/>
  <c r="O169"/>
  <c r="L169"/>
  <c r="I169"/>
  <c r="AJ168"/>
  <c r="AG168"/>
  <c r="W168"/>
  <c r="AA168"/>
  <c r="V168"/>
  <c r="T168"/>
  <c r="S168"/>
  <c r="Q168"/>
  <c r="R168" s="1"/>
  <c r="O168"/>
  <c r="L168"/>
  <c r="I168"/>
  <c r="AJ167"/>
  <c r="AG167"/>
  <c r="Z167"/>
  <c r="W167" s="1"/>
  <c r="Y167"/>
  <c r="V167" s="1"/>
  <c r="T167"/>
  <c r="S167"/>
  <c r="Q167"/>
  <c r="R167" s="1"/>
  <c r="O167"/>
  <c r="L167"/>
  <c r="I167"/>
  <c r="AJ166"/>
  <c r="AG166"/>
  <c r="W166"/>
  <c r="AA166"/>
  <c r="V166"/>
  <c r="T166"/>
  <c r="S166"/>
  <c r="Q166"/>
  <c r="R166" s="1"/>
  <c r="O166"/>
  <c r="L166"/>
  <c r="I166"/>
  <c r="AJ165"/>
  <c r="AG165"/>
  <c r="W165"/>
  <c r="AA165"/>
  <c r="V165"/>
  <c r="U165"/>
  <c r="Q165"/>
  <c r="R165" s="1"/>
  <c r="O165"/>
  <c r="L165"/>
  <c r="I165"/>
  <c r="D165"/>
  <c r="AJ164"/>
  <c r="AG164"/>
  <c r="W164"/>
  <c r="AA164"/>
  <c r="V164"/>
  <c r="T164"/>
  <c r="S164"/>
  <c r="Q164"/>
  <c r="R164" s="1"/>
  <c r="O164"/>
  <c r="L164"/>
  <c r="I164"/>
  <c r="D164"/>
  <c r="AJ163"/>
  <c r="AG163"/>
  <c r="W163"/>
  <c r="V163"/>
  <c r="AA163"/>
  <c r="U163"/>
  <c r="Q163"/>
  <c r="R163" s="1"/>
  <c r="O163"/>
  <c r="L163"/>
  <c r="I163"/>
  <c r="D163"/>
  <c r="AJ162"/>
  <c r="AG162"/>
  <c r="W162"/>
  <c r="AA162"/>
  <c r="V162"/>
  <c r="T162"/>
  <c r="S162"/>
  <c r="Q162"/>
  <c r="R162" s="1"/>
  <c r="O162"/>
  <c r="L162"/>
  <c r="I162"/>
  <c r="AJ161"/>
  <c r="AG161"/>
  <c r="W161"/>
  <c r="AA161"/>
  <c r="V161"/>
  <c r="T161"/>
  <c r="S161"/>
  <c r="Q161"/>
  <c r="R161" s="1"/>
  <c r="O161"/>
  <c r="L161"/>
  <c r="I161"/>
  <c r="AJ160"/>
  <c r="AG160"/>
  <c r="W160"/>
  <c r="AA160"/>
  <c r="V160"/>
  <c r="T160"/>
  <c r="S160"/>
  <c r="Q160"/>
  <c r="R160" s="1"/>
  <c r="O160"/>
  <c r="L160"/>
  <c r="I160"/>
  <c r="AJ159"/>
  <c r="AG159"/>
  <c r="W159"/>
  <c r="AA159"/>
  <c r="V159"/>
  <c r="U159"/>
  <c r="Q159"/>
  <c r="R159" s="1"/>
  <c r="O159"/>
  <c r="L159"/>
  <c r="I159"/>
  <c r="D159"/>
  <c r="AJ158"/>
  <c r="AG158"/>
  <c r="W158"/>
  <c r="AA158"/>
  <c r="V158"/>
  <c r="T158"/>
  <c r="S158"/>
  <c r="Q158"/>
  <c r="R158" s="1"/>
  <c r="O158"/>
  <c r="L158"/>
  <c r="I158"/>
  <c r="AJ157"/>
  <c r="AG157"/>
  <c r="W157"/>
  <c r="AA157"/>
  <c r="T157"/>
  <c r="S157"/>
  <c r="Q157"/>
  <c r="R157" s="1"/>
  <c r="O157"/>
  <c r="L157"/>
  <c r="I157"/>
  <c r="AJ156"/>
  <c r="AG156"/>
  <c r="W156"/>
  <c r="AA156"/>
  <c r="U156"/>
  <c r="Q156"/>
  <c r="O156"/>
  <c r="L156"/>
  <c r="I156"/>
  <c r="D156"/>
  <c r="AJ155"/>
  <c r="AG155"/>
  <c r="W155"/>
  <c r="AA155"/>
  <c r="V155"/>
  <c r="U155"/>
  <c r="Q155"/>
  <c r="O155"/>
  <c r="L155"/>
  <c r="I155"/>
  <c r="D155"/>
  <c r="AJ154"/>
  <c r="AG154"/>
  <c r="W154"/>
  <c r="AA154"/>
  <c r="T154"/>
  <c r="S154"/>
  <c r="D154" s="1"/>
  <c r="Q154"/>
  <c r="O154"/>
  <c r="L154"/>
  <c r="I154"/>
  <c r="AJ153"/>
  <c r="AG153"/>
  <c r="W153"/>
  <c r="AA153"/>
  <c r="T153"/>
  <c r="S153"/>
  <c r="D153" s="1"/>
  <c r="Q153"/>
  <c r="O153"/>
  <c r="L153"/>
  <c r="I153"/>
  <c r="AJ152"/>
  <c r="AG152"/>
  <c r="W152"/>
  <c r="AA152"/>
  <c r="U152"/>
  <c r="Q152"/>
  <c r="O152"/>
  <c r="L152"/>
  <c r="I152"/>
  <c r="D152"/>
  <c r="AJ151"/>
  <c r="AG151"/>
  <c r="W151"/>
  <c r="AA151"/>
  <c r="V151"/>
  <c r="T151"/>
  <c r="S151"/>
  <c r="Q151"/>
  <c r="O151"/>
  <c r="L151"/>
  <c r="I151"/>
  <c r="AJ150"/>
  <c r="AG150"/>
  <c r="W150"/>
  <c r="AA150"/>
  <c r="V150"/>
  <c r="U150"/>
  <c r="Q150"/>
  <c r="O150"/>
  <c r="L150"/>
  <c r="I150"/>
  <c r="D150"/>
  <c r="AJ149"/>
  <c r="AG149"/>
  <c r="W149"/>
  <c r="AA149"/>
  <c r="T149"/>
  <c r="S149"/>
  <c r="Q149"/>
  <c r="R149" s="1"/>
  <c r="O149"/>
  <c r="L149"/>
  <c r="I149"/>
  <c r="E149"/>
  <c r="D149"/>
  <c r="AJ148"/>
  <c r="AG148"/>
  <c r="AA148"/>
  <c r="W148"/>
  <c r="T148"/>
  <c r="S148"/>
  <c r="Q148"/>
  <c r="R148" s="1"/>
  <c r="O148"/>
  <c r="L148"/>
  <c r="I148"/>
  <c r="E148"/>
  <c r="D148"/>
  <c r="AJ147"/>
  <c r="AG147"/>
  <c r="AD147"/>
  <c r="AA147"/>
  <c r="W147"/>
  <c r="T147"/>
  <c r="S147"/>
  <c r="Q147"/>
  <c r="R147" s="1"/>
  <c r="O147"/>
  <c r="L147"/>
  <c r="I147"/>
  <c r="E147"/>
  <c r="AJ146"/>
  <c r="AG146"/>
  <c r="W146"/>
  <c r="AA146"/>
  <c r="T146"/>
  <c r="S146"/>
  <c r="Q146"/>
  <c r="R146" s="1"/>
  <c r="O146"/>
  <c r="L146"/>
  <c r="I146"/>
  <c r="E146"/>
  <c r="AJ145"/>
  <c r="AG145"/>
  <c r="AD145"/>
  <c r="AA145"/>
  <c r="W145"/>
  <c r="T145"/>
  <c r="S145"/>
  <c r="Q145"/>
  <c r="R145" s="1"/>
  <c r="O145"/>
  <c r="L145"/>
  <c r="I145"/>
  <c r="E145"/>
  <c r="AJ144"/>
  <c r="AG144"/>
  <c r="AD144"/>
  <c r="AA144"/>
  <c r="W144"/>
  <c r="T144"/>
  <c r="S144"/>
  <c r="Q144"/>
  <c r="R144" s="1"/>
  <c r="O144"/>
  <c r="L144"/>
  <c r="I144"/>
  <c r="E144"/>
  <c r="D144"/>
  <c r="AJ143"/>
  <c r="AG143"/>
  <c r="W143"/>
  <c r="AA143"/>
  <c r="T143"/>
  <c r="S143"/>
  <c r="Q143"/>
  <c r="R143" s="1"/>
  <c r="O143"/>
  <c r="L143"/>
  <c r="I143"/>
  <c r="AJ142"/>
  <c r="AG142"/>
  <c r="W142"/>
  <c r="AA142"/>
  <c r="V142"/>
  <c r="T142"/>
  <c r="S142"/>
  <c r="Q142"/>
  <c r="R142" s="1"/>
  <c r="O142"/>
  <c r="L142"/>
  <c r="I142"/>
  <c r="E142"/>
  <c r="AJ141"/>
  <c r="AG141"/>
  <c r="W141"/>
  <c r="AA141"/>
  <c r="T141"/>
  <c r="S141"/>
  <c r="Q141"/>
  <c r="R141" s="1"/>
  <c r="O141"/>
  <c r="L141"/>
  <c r="I141"/>
  <c r="AJ140"/>
  <c r="AG140"/>
  <c r="W140"/>
  <c r="AA140"/>
  <c r="T140"/>
  <c r="S140"/>
  <c r="Q140"/>
  <c r="R140" s="1"/>
  <c r="O140"/>
  <c r="L140"/>
  <c r="I140"/>
  <c r="E140"/>
  <c r="AJ139"/>
  <c r="AG139"/>
  <c r="W139"/>
  <c r="AA139"/>
  <c r="T139"/>
  <c r="S139"/>
  <c r="Q139"/>
  <c r="R139" s="1"/>
  <c r="O139"/>
  <c r="L139"/>
  <c r="I139"/>
  <c r="AJ138"/>
  <c r="AG138"/>
  <c r="W138"/>
  <c r="AA138"/>
  <c r="U138"/>
  <c r="Q138"/>
  <c r="R138" s="1"/>
  <c r="O138"/>
  <c r="L138"/>
  <c r="I138"/>
  <c r="E138"/>
  <c r="D138"/>
  <c r="AJ137"/>
  <c r="AG137"/>
  <c r="W137"/>
  <c r="AA137"/>
  <c r="U137"/>
  <c r="Q137"/>
  <c r="R137" s="1"/>
  <c r="O137"/>
  <c r="L137"/>
  <c r="I137"/>
  <c r="E137"/>
  <c r="D137"/>
  <c r="AJ136"/>
  <c r="AG136"/>
  <c r="W136"/>
  <c r="AA136"/>
  <c r="U136"/>
  <c r="Q136"/>
  <c r="R136" s="1"/>
  <c r="O136"/>
  <c r="L136"/>
  <c r="I136"/>
  <c r="E136"/>
  <c r="D136"/>
  <c r="AJ135"/>
  <c r="AG135"/>
  <c r="AD135"/>
  <c r="AA135"/>
  <c r="W135"/>
  <c r="U135"/>
  <c r="Q135"/>
  <c r="R135" s="1"/>
  <c r="O135"/>
  <c r="L135"/>
  <c r="I135"/>
  <c r="E135"/>
  <c r="D135"/>
  <c r="AJ134"/>
  <c r="AG134"/>
  <c r="AA134"/>
  <c r="W134"/>
  <c r="U134"/>
  <c r="Q134"/>
  <c r="R134" s="1"/>
  <c r="O134"/>
  <c r="L134"/>
  <c r="I134"/>
  <c r="E134"/>
  <c r="D134"/>
  <c r="AJ133"/>
  <c r="AG133"/>
  <c r="W133"/>
  <c r="AA133"/>
  <c r="T133"/>
  <c r="S133"/>
  <c r="Q133"/>
  <c r="R133" s="1"/>
  <c r="O133"/>
  <c r="L133"/>
  <c r="I133"/>
  <c r="E133"/>
  <c r="AJ132"/>
  <c r="AG132"/>
  <c r="W132"/>
  <c r="AA132"/>
  <c r="U132"/>
  <c r="Q132"/>
  <c r="R132" s="1"/>
  <c r="O132"/>
  <c r="L132"/>
  <c r="I132"/>
  <c r="E132"/>
  <c r="D132"/>
  <c r="AJ131"/>
  <c r="AG131"/>
  <c r="W131"/>
  <c r="AA131"/>
  <c r="U131"/>
  <c r="Q131"/>
  <c r="R131" s="1"/>
  <c r="O131"/>
  <c r="L131"/>
  <c r="I131"/>
  <c r="E131"/>
  <c r="D131"/>
  <c r="AJ130"/>
  <c r="AG130"/>
  <c r="W130"/>
  <c r="AA130"/>
  <c r="T130"/>
  <c r="S130"/>
  <c r="Q130"/>
  <c r="O130"/>
  <c r="L130"/>
  <c r="I130"/>
  <c r="AJ129"/>
  <c r="AG129"/>
  <c r="W129"/>
  <c r="AA129"/>
  <c r="T129"/>
  <c r="S129"/>
  <c r="D129" s="1"/>
  <c r="Q129"/>
  <c r="O129"/>
  <c r="L129"/>
  <c r="I129"/>
  <c r="AJ128"/>
  <c r="AG128"/>
  <c r="W128"/>
  <c r="AA128"/>
  <c r="T128"/>
  <c r="S128"/>
  <c r="D128" s="1"/>
  <c r="Q128"/>
  <c r="O128"/>
  <c r="L128"/>
  <c r="I128"/>
  <c r="AJ127"/>
  <c r="AG127"/>
  <c r="W127"/>
  <c r="AA127"/>
  <c r="T127"/>
  <c r="S127"/>
  <c r="D127" s="1"/>
  <c r="Q127"/>
  <c r="O127"/>
  <c r="L127"/>
  <c r="I127"/>
  <c r="AJ126"/>
  <c r="AG126"/>
  <c r="W126"/>
  <c r="AA126"/>
  <c r="U126"/>
  <c r="Q126"/>
  <c r="O126"/>
  <c r="L126"/>
  <c r="I126"/>
  <c r="D126"/>
  <c r="AJ125"/>
  <c r="AG125"/>
  <c r="W125"/>
  <c r="AA125"/>
  <c r="V125"/>
  <c r="T125"/>
  <c r="S125"/>
  <c r="Q125"/>
  <c r="O125"/>
  <c r="L125"/>
  <c r="I125"/>
  <c r="AJ124"/>
  <c r="AG124"/>
  <c r="W124"/>
  <c r="AA124"/>
  <c r="V124"/>
  <c r="U124"/>
  <c r="Q124"/>
  <c r="O124"/>
  <c r="L124"/>
  <c r="I124"/>
  <c r="D124"/>
  <c r="AJ123"/>
  <c r="AG123"/>
  <c r="W123"/>
  <c r="AA123"/>
  <c r="T123"/>
  <c r="S123"/>
  <c r="D123" s="1"/>
  <c r="Q123"/>
  <c r="O123"/>
  <c r="L123"/>
  <c r="I123"/>
  <c r="AJ122"/>
  <c r="AG122"/>
  <c r="W122"/>
  <c r="AA122"/>
  <c r="T122"/>
  <c r="S122"/>
  <c r="D122" s="1"/>
  <c r="Q122"/>
  <c r="O122"/>
  <c r="L122"/>
  <c r="I122"/>
  <c r="AJ121"/>
  <c r="AG121"/>
  <c r="W121"/>
  <c r="AA121"/>
  <c r="T121"/>
  <c r="S121"/>
  <c r="D121" s="1"/>
  <c r="Q121"/>
  <c r="O121"/>
  <c r="L121"/>
  <c r="I121"/>
  <c r="AJ120"/>
  <c r="AG120"/>
  <c r="W120"/>
  <c r="AA120"/>
  <c r="U120"/>
  <c r="Q120"/>
  <c r="O120"/>
  <c r="L120"/>
  <c r="I120"/>
  <c r="D120"/>
  <c r="AJ119"/>
  <c r="AG119"/>
  <c r="W119"/>
  <c r="AA119"/>
  <c r="V119"/>
  <c r="T119"/>
  <c r="S119"/>
  <c r="Q119"/>
  <c r="O119"/>
  <c r="L119"/>
  <c r="I119"/>
  <c r="AJ118"/>
  <c r="AG118"/>
  <c r="W118"/>
  <c r="AA118"/>
  <c r="V118"/>
  <c r="T118"/>
  <c r="S118"/>
  <c r="Q118"/>
  <c r="O118"/>
  <c r="L118"/>
  <c r="I118"/>
  <c r="AJ117"/>
  <c r="AG117"/>
  <c r="W117"/>
  <c r="AA117"/>
  <c r="V117"/>
  <c r="T117"/>
  <c r="S117"/>
  <c r="Q117"/>
  <c r="O117"/>
  <c r="L117"/>
  <c r="I117"/>
  <c r="AJ116"/>
  <c r="AG116"/>
  <c r="W116"/>
  <c r="AA116"/>
  <c r="V116"/>
  <c r="U116"/>
  <c r="Q116"/>
  <c r="O116"/>
  <c r="L116"/>
  <c r="I116"/>
  <c r="D116"/>
  <c r="AJ115"/>
  <c r="AG115"/>
  <c r="W115"/>
  <c r="AA115"/>
  <c r="T115"/>
  <c r="S115"/>
  <c r="D115" s="1"/>
  <c r="Q115"/>
  <c r="O115"/>
  <c r="L115"/>
  <c r="I115"/>
  <c r="AI114"/>
  <c r="AI176" s="1"/>
  <c r="AH114"/>
  <c r="AH176" s="1"/>
  <c r="AG114"/>
  <c r="AA114"/>
  <c r="T114"/>
  <c r="S114"/>
  <c r="Q114"/>
  <c r="O114"/>
  <c r="L114"/>
  <c r="I114"/>
  <c r="AJ113"/>
  <c r="AG113"/>
  <c r="W113"/>
  <c r="AA113"/>
  <c r="V113"/>
  <c r="U113"/>
  <c r="Q113"/>
  <c r="R113" s="1"/>
  <c r="O113"/>
  <c r="L113"/>
  <c r="I113"/>
  <c r="D113"/>
  <c r="AJ112"/>
  <c r="AG112"/>
  <c r="W112"/>
  <c r="AA112"/>
  <c r="V112"/>
  <c r="T112"/>
  <c r="S112"/>
  <c r="Q112"/>
  <c r="O112"/>
  <c r="L112"/>
  <c r="I112"/>
  <c r="AJ111"/>
  <c r="AG111"/>
  <c r="W111"/>
  <c r="AA111"/>
  <c r="V111"/>
  <c r="T111"/>
  <c r="S111"/>
  <c r="Q111"/>
  <c r="O111"/>
  <c r="L111"/>
  <c r="I111"/>
  <c r="AJ110"/>
  <c r="AG110"/>
  <c r="W110"/>
  <c r="AA110"/>
  <c r="V110"/>
  <c r="U110"/>
  <c r="Q110"/>
  <c r="O110"/>
  <c r="L110"/>
  <c r="I110"/>
  <c r="D110"/>
  <c r="AJ109"/>
  <c r="AG109"/>
  <c r="W109"/>
  <c r="AA109"/>
  <c r="V109"/>
  <c r="U109"/>
  <c r="Q109"/>
  <c r="R109" s="1"/>
  <c r="O109"/>
  <c r="L109"/>
  <c r="I109"/>
  <c r="D109"/>
  <c r="AJ108"/>
  <c r="AG108"/>
  <c r="W108"/>
  <c r="AA108"/>
  <c r="V108"/>
  <c r="T108"/>
  <c r="S108"/>
  <c r="Q108"/>
  <c r="R108" s="1"/>
  <c r="O108"/>
  <c r="L108"/>
  <c r="I108"/>
  <c r="AJ107"/>
  <c r="AG107"/>
  <c r="W107"/>
  <c r="AA107"/>
  <c r="V107"/>
  <c r="T107"/>
  <c r="S107"/>
  <c r="Q107"/>
  <c r="R107" s="1"/>
  <c r="O107"/>
  <c r="L107"/>
  <c r="I107"/>
  <c r="AJ106"/>
  <c r="AG106"/>
  <c r="W106"/>
  <c r="AA106"/>
  <c r="V106"/>
  <c r="T106"/>
  <c r="S106"/>
  <c r="Q106"/>
  <c r="R106" s="1"/>
  <c r="O106"/>
  <c r="L106"/>
  <c r="I106"/>
  <c r="AJ105"/>
  <c r="AG105"/>
  <c r="W105"/>
  <c r="AA105"/>
  <c r="V105"/>
  <c r="T105"/>
  <c r="S105"/>
  <c r="Q105"/>
  <c r="R105" s="1"/>
  <c r="O105"/>
  <c r="L105"/>
  <c r="I105"/>
  <c r="AJ104"/>
  <c r="AG104"/>
  <c r="W104"/>
  <c r="AA104"/>
  <c r="V104"/>
  <c r="T104"/>
  <c r="S104"/>
  <c r="Q104"/>
  <c r="R104" s="1"/>
  <c r="O104"/>
  <c r="L104"/>
  <c r="I104"/>
  <c r="AJ103"/>
  <c r="AG103"/>
  <c r="W103"/>
  <c r="AA103"/>
  <c r="V103"/>
  <c r="T103"/>
  <c r="S103"/>
  <c r="Q103"/>
  <c r="R103" s="1"/>
  <c r="O103"/>
  <c r="L103"/>
  <c r="I103"/>
  <c r="AJ102"/>
  <c r="AG102"/>
  <c r="W102"/>
  <c r="AA102"/>
  <c r="V102"/>
  <c r="T102"/>
  <c r="S102"/>
  <c r="Q102"/>
  <c r="R102" s="1"/>
  <c r="O102"/>
  <c r="K102"/>
  <c r="E102" s="1"/>
  <c r="J102"/>
  <c r="I102"/>
  <c r="AJ101"/>
  <c r="AG101"/>
  <c r="W101"/>
  <c r="AA101"/>
  <c r="T101"/>
  <c r="S101"/>
  <c r="Q101"/>
  <c r="R101" s="1"/>
  <c r="O101"/>
  <c r="L101"/>
  <c r="I101"/>
  <c r="AJ100"/>
  <c r="AG100"/>
  <c r="W100"/>
  <c r="AA100"/>
  <c r="T100"/>
  <c r="S100"/>
  <c r="Q100"/>
  <c r="R100" s="1"/>
  <c r="O100"/>
  <c r="L100"/>
  <c r="I100"/>
  <c r="E100"/>
  <c r="AJ99"/>
  <c r="AG99"/>
  <c r="W99"/>
  <c r="AA99"/>
  <c r="T99"/>
  <c r="S99"/>
  <c r="D99" s="1"/>
  <c r="Q99"/>
  <c r="R99" s="1"/>
  <c r="O99"/>
  <c r="L99"/>
  <c r="I99"/>
  <c r="AJ98"/>
  <c r="AG98"/>
  <c r="W98"/>
  <c r="AA98"/>
  <c r="T98"/>
  <c r="S98"/>
  <c r="Q98"/>
  <c r="R98" s="1"/>
  <c r="O98"/>
  <c r="L98"/>
  <c r="I98"/>
  <c r="E98"/>
  <c r="AJ97"/>
  <c r="AG97"/>
  <c r="W97"/>
  <c r="AA97"/>
  <c r="T97"/>
  <c r="S97"/>
  <c r="Q97"/>
  <c r="R97" s="1"/>
  <c r="O97"/>
  <c r="L97"/>
  <c r="I97"/>
  <c r="E97"/>
  <c r="AJ96"/>
  <c r="AG96"/>
  <c r="W96"/>
  <c r="AA96"/>
  <c r="T96"/>
  <c r="S96"/>
  <c r="Q96"/>
  <c r="R96" s="1"/>
  <c r="O96"/>
  <c r="L96"/>
  <c r="I96"/>
  <c r="AJ95"/>
  <c r="AG95"/>
  <c r="W95"/>
  <c r="AA95"/>
  <c r="T95"/>
  <c r="S95"/>
  <c r="Q95"/>
  <c r="R95" s="1"/>
  <c r="O95"/>
  <c r="K95"/>
  <c r="E95" s="1"/>
  <c r="J95"/>
  <c r="I95"/>
  <c r="AJ94"/>
  <c r="AG94"/>
  <c r="W94"/>
  <c r="AA94"/>
  <c r="V94"/>
  <c r="T94"/>
  <c r="S94"/>
  <c r="Q94"/>
  <c r="R94" s="1"/>
  <c r="O94"/>
  <c r="L94"/>
  <c r="I94"/>
  <c r="AJ93"/>
  <c r="AG93"/>
  <c r="W93"/>
  <c r="AA93"/>
  <c r="V93"/>
  <c r="T93"/>
  <c r="S93"/>
  <c r="Q93"/>
  <c r="R93" s="1"/>
  <c r="O93"/>
  <c r="L93"/>
  <c r="I93"/>
  <c r="AJ92"/>
  <c r="AG92"/>
  <c r="W92"/>
  <c r="AA92"/>
  <c r="V92"/>
  <c r="T92"/>
  <c r="S92"/>
  <c r="Q92"/>
  <c r="R92" s="1"/>
  <c r="O92"/>
  <c r="L92"/>
  <c r="I92"/>
  <c r="AJ91"/>
  <c r="AG91"/>
  <c r="W91"/>
  <c r="AA91"/>
  <c r="V91"/>
  <c r="T91"/>
  <c r="S91"/>
  <c r="Q91"/>
  <c r="R91" s="1"/>
  <c r="O91"/>
  <c r="L91"/>
  <c r="I91"/>
  <c r="AJ90"/>
  <c r="AG90"/>
  <c r="W90"/>
  <c r="AA90"/>
  <c r="V90"/>
  <c r="T90"/>
  <c r="S90"/>
  <c r="Q90"/>
  <c r="R90" s="1"/>
  <c r="O90"/>
  <c r="K90"/>
  <c r="E90" s="1"/>
  <c r="J90"/>
  <c r="I90"/>
  <c r="AJ89"/>
  <c r="AG89"/>
  <c r="W89"/>
  <c r="AA89"/>
  <c r="T89"/>
  <c r="S89"/>
  <c r="Q89"/>
  <c r="R89" s="1"/>
  <c r="O89"/>
  <c r="L89"/>
  <c r="I89"/>
  <c r="E89"/>
  <c r="AJ88"/>
  <c r="AG88"/>
  <c r="W88"/>
  <c r="AA88"/>
  <c r="T88"/>
  <c r="S88"/>
  <c r="Q88"/>
  <c r="R88" s="1"/>
  <c r="O88"/>
  <c r="L88"/>
  <c r="I88"/>
  <c r="AJ87"/>
  <c r="AG87"/>
  <c r="W87"/>
  <c r="AA87"/>
  <c r="T87"/>
  <c r="S87"/>
  <c r="Q87"/>
  <c r="R87" s="1"/>
  <c r="O87"/>
  <c r="L87"/>
  <c r="I87"/>
  <c r="E87"/>
  <c r="AJ86"/>
  <c r="AG86"/>
  <c r="W86"/>
  <c r="AA86"/>
  <c r="T86"/>
  <c r="S86"/>
  <c r="D86" s="1"/>
  <c r="Q86"/>
  <c r="R86" s="1"/>
  <c r="O86"/>
  <c r="L86"/>
  <c r="I86"/>
  <c r="AJ85"/>
  <c r="AG85"/>
  <c r="W85"/>
  <c r="AA85"/>
  <c r="T85"/>
  <c r="S85"/>
  <c r="Q85"/>
  <c r="R85" s="1"/>
  <c r="O85"/>
  <c r="K85"/>
  <c r="E85" s="1"/>
  <c r="J85"/>
  <c r="I85"/>
  <c r="AJ84"/>
  <c r="AG84"/>
  <c r="W84"/>
  <c r="AA84"/>
  <c r="V84"/>
  <c r="T84"/>
  <c r="S84"/>
  <c r="Q84"/>
  <c r="R84" s="1"/>
  <c r="O84"/>
  <c r="L84"/>
  <c r="I84"/>
  <c r="AJ83"/>
  <c r="AG83"/>
  <c r="W83"/>
  <c r="AA83"/>
  <c r="V83"/>
  <c r="U83"/>
  <c r="Q83"/>
  <c r="R83" s="1"/>
  <c r="O83"/>
  <c r="L83"/>
  <c r="I83"/>
  <c r="E83"/>
  <c r="D83"/>
  <c r="AJ82"/>
  <c r="AG82"/>
  <c r="W82"/>
  <c r="AA82"/>
  <c r="T82"/>
  <c r="S82"/>
  <c r="Q82"/>
  <c r="R82" s="1"/>
  <c r="O82"/>
  <c r="L82"/>
  <c r="I82"/>
  <c r="E82"/>
  <c r="D82"/>
  <c r="AJ81"/>
  <c r="AG81"/>
  <c r="W81"/>
  <c r="AA81"/>
  <c r="T81"/>
  <c r="S81"/>
  <c r="Q81"/>
  <c r="R81" s="1"/>
  <c r="O81"/>
  <c r="L81"/>
  <c r="I81"/>
  <c r="AJ80"/>
  <c r="AG80"/>
  <c r="W80"/>
  <c r="AA80"/>
  <c r="U80"/>
  <c r="Q80"/>
  <c r="R80" s="1"/>
  <c r="O80"/>
  <c r="L80"/>
  <c r="I80"/>
  <c r="E80"/>
  <c r="D80"/>
  <c r="AJ79"/>
  <c r="AG79"/>
  <c r="W79"/>
  <c r="AA79"/>
  <c r="U79"/>
  <c r="Q79"/>
  <c r="R79" s="1"/>
  <c r="O79"/>
  <c r="L79"/>
  <c r="I79"/>
  <c r="E79"/>
  <c r="D79"/>
  <c r="AJ78"/>
  <c r="AG78"/>
  <c r="AD78"/>
  <c r="AA78"/>
  <c r="T78"/>
  <c r="S78"/>
  <c r="Q78"/>
  <c r="R78" s="1"/>
  <c r="O78"/>
  <c r="L78"/>
  <c r="I78"/>
  <c r="E78"/>
  <c r="AJ77"/>
  <c r="AG77"/>
  <c r="W77"/>
  <c r="AA77"/>
  <c r="T77"/>
  <c r="S77"/>
  <c r="Q77"/>
  <c r="R77" s="1"/>
  <c r="O77"/>
  <c r="L77"/>
  <c r="I77"/>
  <c r="AJ76"/>
  <c r="AG76"/>
  <c r="W76"/>
  <c r="AA76"/>
  <c r="T76"/>
  <c r="S76"/>
  <c r="Q76"/>
  <c r="R76" s="1"/>
  <c r="O76"/>
  <c r="L76"/>
  <c r="I76"/>
  <c r="E76"/>
  <c r="AJ75"/>
  <c r="AG75"/>
  <c r="W75"/>
  <c r="AA75"/>
  <c r="U75"/>
  <c r="Q75"/>
  <c r="R75" s="1"/>
  <c r="O75"/>
  <c r="L75"/>
  <c r="I75"/>
  <c r="E75"/>
  <c r="D75"/>
  <c r="AJ74"/>
  <c r="AG74"/>
  <c r="W74"/>
  <c r="AA74"/>
  <c r="U74"/>
  <c r="Q74"/>
  <c r="R74" s="1"/>
  <c r="O74"/>
  <c r="L74"/>
  <c r="I74"/>
  <c r="E74"/>
  <c r="D74"/>
  <c r="AJ73"/>
  <c r="AG73"/>
  <c r="W73"/>
  <c r="AA73"/>
  <c r="T73"/>
  <c r="S73"/>
  <c r="Q73"/>
  <c r="R73" s="1"/>
  <c r="O73"/>
  <c r="L73"/>
  <c r="I73"/>
  <c r="AJ72"/>
  <c r="AG72"/>
  <c r="W72"/>
  <c r="AA72"/>
  <c r="T72"/>
  <c r="S72"/>
  <c r="Q72"/>
  <c r="R72" s="1"/>
  <c r="O72"/>
  <c r="L72"/>
  <c r="I72"/>
  <c r="AJ71"/>
  <c r="AG71"/>
  <c r="W71"/>
  <c r="AA71"/>
  <c r="T71"/>
  <c r="S71"/>
  <c r="Q71"/>
  <c r="R71" s="1"/>
  <c r="O71"/>
  <c r="L71"/>
  <c r="I71"/>
  <c r="AJ70"/>
  <c r="AG70"/>
  <c r="W70"/>
  <c r="AA70"/>
  <c r="U70"/>
  <c r="Q70"/>
  <c r="R70" s="1"/>
  <c r="O70"/>
  <c r="L70"/>
  <c r="I70"/>
  <c r="E70"/>
  <c r="D70"/>
  <c r="AJ69"/>
  <c r="AG69"/>
  <c r="W69"/>
  <c r="AA69"/>
  <c r="V69"/>
  <c r="U69"/>
  <c r="Q69"/>
  <c r="R69" s="1"/>
  <c r="O69"/>
  <c r="L69"/>
  <c r="I69"/>
  <c r="D69"/>
  <c r="AJ68"/>
  <c r="AG68"/>
  <c r="W68"/>
  <c r="AA68"/>
  <c r="V68"/>
  <c r="T68"/>
  <c r="S68"/>
  <c r="Q68"/>
  <c r="R68" s="1"/>
  <c r="O68"/>
  <c r="L68"/>
  <c r="I68"/>
  <c r="AJ67"/>
  <c r="AG67"/>
  <c r="AD67"/>
  <c r="AA67"/>
  <c r="W67"/>
  <c r="T67"/>
  <c r="S67"/>
  <c r="Q67"/>
  <c r="R67" s="1"/>
  <c r="O67"/>
  <c r="L67"/>
  <c r="I67"/>
  <c r="E67"/>
  <c r="AJ66"/>
  <c r="AG66"/>
  <c r="W66"/>
  <c r="AA66"/>
  <c r="U66"/>
  <c r="Q66"/>
  <c r="R66" s="1"/>
  <c r="O66"/>
  <c r="L66"/>
  <c r="I66"/>
  <c r="E66"/>
  <c r="D66"/>
  <c r="AJ65"/>
  <c r="AG65"/>
  <c r="W65"/>
  <c r="AA65"/>
  <c r="T65"/>
  <c r="S65"/>
  <c r="Q65"/>
  <c r="R65" s="1"/>
  <c r="O65"/>
  <c r="L65"/>
  <c r="I65"/>
  <c r="E65"/>
  <c r="AJ64"/>
  <c r="AG64"/>
  <c r="W64"/>
  <c r="AA64"/>
  <c r="V64"/>
  <c r="T64"/>
  <c r="S64"/>
  <c r="Q64"/>
  <c r="R64" s="1"/>
  <c r="O64"/>
  <c r="L64"/>
  <c r="I64"/>
  <c r="AJ63"/>
  <c r="AG63"/>
  <c r="W63"/>
  <c r="AA63"/>
  <c r="V63"/>
  <c r="U63"/>
  <c r="Q63"/>
  <c r="R63" s="1"/>
  <c r="O63"/>
  <c r="L63"/>
  <c r="I63"/>
  <c r="E63"/>
  <c r="D63"/>
  <c r="AJ62"/>
  <c r="AG62"/>
  <c r="W62"/>
  <c r="AA62"/>
  <c r="U62"/>
  <c r="Q62"/>
  <c r="R62" s="1"/>
  <c r="O62"/>
  <c r="L62"/>
  <c r="I62"/>
  <c r="E62"/>
  <c r="D62"/>
  <c r="AJ61"/>
  <c r="AG61"/>
  <c r="W61"/>
  <c r="AA61"/>
  <c r="T61"/>
  <c r="S61"/>
  <c r="Q61"/>
  <c r="R61" s="1"/>
  <c r="O61"/>
  <c r="L61"/>
  <c r="I61"/>
  <c r="D61"/>
  <c r="AJ60"/>
  <c r="AG60"/>
  <c r="W60"/>
  <c r="AA60"/>
  <c r="U60"/>
  <c r="Q60"/>
  <c r="R60" s="1"/>
  <c r="O60"/>
  <c r="L60"/>
  <c r="I60"/>
  <c r="E60"/>
  <c r="D60"/>
  <c r="AJ59"/>
  <c r="AG59"/>
  <c r="W59"/>
  <c r="AA59"/>
  <c r="T59"/>
  <c r="S59"/>
  <c r="Q59"/>
  <c r="R59" s="1"/>
  <c r="O59"/>
  <c r="L59"/>
  <c r="I59"/>
  <c r="AJ58"/>
  <c r="AG58"/>
  <c r="W58"/>
  <c r="AA58"/>
  <c r="U58"/>
  <c r="Q58"/>
  <c r="R58" s="1"/>
  <c r="O58"/>
  <c r="L58"/>
  <c r="I58"/>
  <c r="E58"/>
  <c r="D58"/>
  <c r="AJ57"/>
  <c r="AG57"/>
  <c r="W57"/>
  <c r="AA57"/>
  <c r="T57"/>
  <c r="S57"/>
  <c r="Q57"/>
  <c r="R57" s="1"/>
  <c r="O57"/>
  <c r="L57"/>
  <c r="I57"/>
  <c r="E57"/>
  <c r="D57"/>
  <c r="AJ56"/>
  <c r="AG56"/>
  <c r="Z56"/>
  <c r="Y56"/>
  <c r="T56"/>
  <c r="S56"/>
  <c r="Q56"/>
  <c r="R56" s="1"/>
  <c r="O56"/>
  <c r="L56"/>
  <c r="I56"/>
  <c r="AJ55"/>
  <c r="AG55"/>
  <c r="W55"/>
  <c r="AA55"/>
  <c r="V55"/>
  <c r="T55"/>
  <c r="S55"/>
  <c r="Q55"/>
  <c r="O55"/>
  <c r="L55"/>
  <c r="I55"/>
  <c r="AJ54"/>
  <c r="AG54"/>
  <c r="W54"/>
  <c r="AA54"/>
  <c r="T54"/>
  <c r="S54"/>
  <c r="D54" s="1"/>
  <c r="Q54"/>
  <c r="O54"/>
  <c r="L54"/>
  <c r="I54"/>
  <c r="AJ53"/>
  <c r="AG53"/>
  <c r="W53"/>
  <c r="AA53"/>
  <c r="V53"/>
  <c r="T53"/>
  <c r="S53"/>
  <c r="Q53"/>
  <c r="O53"/>
  <c r="L53"/>
  <c r="I53"/>
  <c r="AJ52"/>
  <c r="AG52"/>
  <c r="W52"/>
  <c r="AA52"/>
  <c r="T52"/>
  <c r="S52"/>
  <c r="Q52"/>
  <c r="O52"/>
  <c r="L52"/>
  <c r="I52"/>
  <c r="D52"/>
  <c r="AJ51"/>
  <c r="AG51"/>
  <c r="W51"/>
  <c r="AA51"/>
  <c r="V51"/>
  <c r="T51"/>
  <c r="S51"/>
  <c r="Q51"/>
  <c r="O51"/>
  <c r="K51"/>
  <c r="J51"/>
  <c r="I51"/>
  <c r="D51"/>
  <c r="AJ50"/>
  <c r="AG50"/>
  <c r="W50"/>
  <c r="AA50"/>
  <c r="V50"/>
  <c r="T50"/>
  <c r="S50"/>
  <c r="Q50"/>
  <c r="O50"/>
  <c r="L50"/>
  <c r="I50"/>
  <c r="AJ49"/>
  <c r="AG49"/>
  <c r="AD49"/>
  <c r="AA49"/>
  <c r="W49"/>
  <c r="T49"/>
  <c r="S49"/>
  <c r="D49" s="1"/>
  <c r="Q49"/>
  <c r="O49"/>
  <c r="L49"/>
  <c r="I49"/>
  <c r="AJ48"/>
  <c r="AG48"/>
  <c r="W48"/>
  <c r="AA48"/>
  <c r="V48"/>
  <c r="T48"/>
  <c r="S48"/>
  <c r="Q48"/>
  <c r="O48"/>
  <c r="L48"/>
  <c r="I48"/>
  <c r="AJ47"/>
  <c r="AG47"/>
  <c r="W47"/>
  <c r="AA47"/>
  <c r="T47"/>
  <c r="S47"/>
  <c r="Q47"/>
  <c r="O47"/>
  <c r="K47"/>
  <c r="K176" s="1"/>
  <c r="J47"/>
  <c r="J176" s="1"/>
  <c r="I47"/>
  <c r="D47"/>
  <c r="AJ46"/>
  <c r="AG46"/>
  <c r="W46"/>
  <c r="AA46"/>
  <c r="T46"/>
  <c r="S46"/>
  <c r="D46" s="1"/>
  <c r="Q46"/>
  <c r="O46"/>
  <c r="L46"/>
  <c r="I46"/>
  <c r="AJ45"/>
  <c r="AG45"/>
  <c r="W45"/>
  <c r="AA45"/>
  <c r="V45"/>
  <c r="T45"/>
  <c r="S45"/>
  <c r="Q45"/>
  <c r="O45"/>
  <c r="L45"/>
  <c r="I45"/>
  <c r="AJ44"/>
  <c r="AG44"/>
  <c r="AD44"/>
  <c r="AA44"/>
  <c r="W44"/>
  <c r="T44"/>
  <c r="S44"/>
  <c r="D44" s="1"/>
  <c r="Q44"/>
  <c r="O44"/>
  <c r="L44"/>
  <c r="I44"/>
  <c r="AJ43"/>
  <c r="AG43"/>
  <c r="W43"/>
  <c r="AA43"/>
  <c r="V43"/>
  <c r="T43"/>
  <c r="S43"/>
  <c r="Q43"/>
  <c r="R43" s="1"/>
  <c r="O43"/>
  <c r="L43"/>
  <c r="I43"/>
  <c r="D43"/>
  <c r="AJ42"/>
  <c r="AG42"/>
  <c r="W42"/>
  <c r="AA42"/>
  <c r="V42"/>
  <c r="T42"/>
  <c r="S42"/>
  <c r="Q42"/>
  <c r="R42" s="1"/>
  <c r="O42"/>
  <c r="L42"/>
  <c r="I42"/>
  <c r="D42"/>
  <c r="AJ41"/>
  <c r="AG41"/>
  <c r="W41"/>
  <c r="AA41"/>
  <c r="V41"/>
  <c r="T41"/>
  <c r="S41"/>
  <c r="Q41"/>
  <c r="R41" s="1"/>
  <c r="O41"/>
  <c r="L41"/>
  <c r="I41"/>
  <c r="D41"/>
  <c r="AJ40"/>
  <c r="AG40"/>
  <c r="W40"/>
  <c r="AA40"/>
  <c r="V40"/>
  <c r="T40"/>
  <c r="S40"/>
  <c r="Q40"/>
  <c r="R40" s="1"/>
  <c r="O40"/>
  <c r="L40"/>
  <c r="I40"/>
  <c r="D40"/>
  <c r="AJ39"/>
  <c r="AG39"/>
  <c r="W39"/>
  <c r="AA39"/>
  <c r="V39"/>
  <c r="T39"/>
  <c r="S39"/>
  <c r="Q39"/>
  <c r="R39" s="1"/>
  <c r="O39"/>
  <c r="L39"/>
  <c r="I39"/>
  <c r="D39"/>
  <c r="AJ38"/>
  <c r="AG38"/>
  <c r="W38"/>
  <c r="AA38"/>
  <c r="V38"/>
  <c r="T38"/>
  <c r="S38"/>
  <c r="Q38"/>
  <c r="R38" s="1"/>
  <c r="O38"/>
  <c r="L38"/>
  <c r="I38"/>
  <c r="D38"/>
  <c r="AJ37"/>
  <c r="AG37"/>
  <c r="W37"/>
  <c r="AA37"/>
  <c r="V37"/>
  <c r="T37"/>
  <c r="S37"/>
  <c r="D37" s="1"/>
  <c r="Q37"/>
  <c r="R37" s="1"/>
  <c r="O37"/>
  <c r="L37"/>
  <c r="I37"/>
  <c r="AJ36"/>
  <c r="AG36"/>
  <c r="W36"/>
  <c r="AA36"/>
  <c r="V36"/>
  <c r="T36"/>
  <c r="S36"/>
  <c r="D36" s="1"/>
  <c r="Q36"/>
  <c r="R36" s="1"/>
  <c r="O36"/>
  <c r="L36"/>
  <c r="I36"/>
  <c r="AJ35"/>
  <c r="AG35"/>
  <c r="W35"/>
  <c r="AA35"/>
  <c r="V35"/>
  <c r="T35"/>
  <c r="S35"/>
  <c r="D35" s="1"/>
  <c r="Q35"/>
  <c r="R35" s="1"/>
  <c r="O35"/>
  <c r="L35"/>
  <c r="I35"/>
  <c r="AJ34"/>
  <c r="AG34"/>
  <c r="W34"/>
  <c r="AA34"/>
  <c r="V34"/>
  <c r="T34"/>
  <c r="S34"/>
  <c r="D34" s="1"/>
  <c r="Q34"/>
  <c r="R34" s="1"/>
  <c r="O34"/>
  <c r="L34"/>
  <c r="I34"/>
  <c r="AJ33"/>
  <c r="AG33"/>
  <c r="W33"/>
  <c r="AA33"/>
  <c r="V33"/>
  <c r="T33"/>
  <c r="S33"/>
  <c r="D33" s="1"/>
  <c r="Q33"/>
  <c r="R33" s="1"/>
  <c r="O33"/>
  <c r="L33"/>
  <c r="I33"/>
  <c r="AJ32"/>
  <c r="AG32"/>
  <c r="W32"/>
  <c r="AA32"/>
  <c r="V32"/>
  <c r="T32"/>
  <c r="S32"/>
  <c r="D32" s="1"/>
  <c r="Q32"/>
  <c r="R32" s="1"/>
  <c r="O32"/>
  <c r="L32"/>
  <c r="I32"/>
  <c r="AJ31"/>
  <c r="AG31"/>
  <c r="W31"/>
  <c r="AA31"/>
  <c r="V31"/>
  <c r="T31"/>
  <c r="S31"/>
  <c r="D31" s="1"/>
  <c r="Q31"/>
  <c r="R31" s="1"/>
  <c r="O31"/>
  <c r="L31"/>
  <c r="I31"/>
  <c r="AJ30"/>
  <c r="AG30"/>
  <c r="W30"/>
  <c r="AA30"/>
  <c r="V30"/>
  <c r="T30"/>
  <c r="S30"/>
  <c r="D30" s="1"/>
  <c r="Q30"/>
  <c r="R30" s="1"/>
  <c r="O30"/>
  <c r="L30"/>
  <c r="I30"/>
  <c r="AJ29"/>
  <c r="AG29"/>
  <c r="W29"/>
  <c r="AA29"/>
  <c r="V29"/>
  <c r="T29"/>
  <c r="S29"/>
  <c r="D29" s="1"/>
  <c r="Q29"/>
  <c r="R29" s="1"/>
  <c r="O29"/>
  <c r="L29"/>
  <c r="I29"/>
  <c r="AJ28"/>
  <c r="AG28"/>
  <c r="W28"/>
  <c r="AA28"/>
  <c r="V28"/>
  <c r="T28"/>
  <c r="S28"/>
  <c r="D28" s="1"/>
  <c r="Q28"/>
  <c r="R28" s="1"/>
  <c r="O28"/>
  <c r="L28"/>
  <c r="I28"/>
  <c r="AJ27"/>
  <c r="AG27"/>
  <c r="W27"/>
  <c r="AA27"/>
  <c r="V27"/>
  <c r="T27"/>
  <c r="S27"/>
  <c r="Q27"/>
  <c r="R27" s="1"/>
  <c r="O27"/>
  <c r="L27"/>
  <c r="I27"/>
  <c r="AJ26"/>
  <c r="AG26"/>
  <c r="AD26"/>
  <c r="AA26"/>
  <c r="W26"/>
  <c r="T26"/>
  <c r="S26"/>
  <c r="Q26"/>
  <c r="R26" s="1"/>
  <c r="O26"/>
  <c r="L26"/>
  <c r="I26"/>
  <c r="E26"/>
  <c r="D26"/>
  <c r="AJ25"/>
  <c r="AG25"/>
  <c r="W25"/>
  <c r="AA25"/>
  <c r="T25"/>
  <c r="S25"/>
  <c r="Q25"/>
  <c r="R25" s="1"/>
  <c r="O25"/>
  <c r="L25"/>
  <c r="I25"/>
  <c r="E25"/>
  <c r="AJ24"/>
  <c r="AG24"/>
  <c r="W24"/>
  <c r="AA24"/>
  <c r="T24"/>
  <c r="S24"/>
  <c r="Q24"/>
  <c r="R24" s="1"/>
  <c r="O24"/>
  <c r="L24"/>
  <c r="I24"/>
  <c r="D24"/>
  <c r="AJ23"/>
  <c r="AG23"/>
  <c r="AD23"/>
  <c r="AA23"/>
  <c r="W23"/>
  <c r="T23"/>
  <c r="S23"/>
  <c r="Q23"/>
  <c r="R23" s="1"/>
  <c r="O23"/>
  <c r="L23"/>
  <c r="I23"/>
  <c r="E23"/>
  <c r="AJ22"/>
  <c r="AG22"/>
  <c r="W22"/>
  <c r="AA22"/>
  <c r="T22"/>
  <c r="E22" s="1"/>
  <c r="S22"/>
  <c r="R22"/>
  <c r="Q22"/>
  <c r="O22"/>
  <c r="L22"/>
  <c r="I22"/>
  <c r="D22"/>
  <c r="AJ21"/>
  <c r="AG21"/>
  <c r="AG176" s="1"/>
  <c r="W21"/>
  <c r="AB176"/>
  <c r="AA21"/>
  <c r="T21"/>
  <c r="S21"/>
  <c r="S176" s="1"/>
  <c r="Q21"/>
  <c r="O21"/>
  <c r="O176" s="1"/>
  <c r="L21"/>
  <c r="I21"/>
  <c r="I176" s="1"/>
  <c r="E21"/>
  <c r="D21"/>
  <c r="W78" l="1"/>
  <c r="D77"/>
  <c r="D103"/>
  <c r="D104"/>
  <c r="D105"/>
  <c r="D106"/>
  <c r="D107"/>
  <c r="D108"/>
  <c r="AD134"/>
  <c r="AD148"/>
  <c r="E77"/>
  <c r="AD136"/>
  <c r="AD138"/>
  <c r="D139"/>
  <c r="D71"/>
  <c r="D167"/>
  <c r="D111"/>
  <c r="X112"/>
  <c r="AD140"/>
  <c r="E139"/>
  <c r="D141"/>
  <c r="AD57"/>
  <c r="AD58"/>
  <c r="D59"/>
  <c r="D64"/>
  <c r="AD66"/>
  <c r="D73"/>
  <c r="AD81"/>
  <c r="D96"/>
  <c r="D143"/>
  <c r="U50"/>
  <c r="AD54"/>
  <c r="E61"/>
  <c r="U125"/>
  <c r="AD127"/>
  <c r="U175"/>
  <c r="D72"/>
  <c r="D81"/>
  <c r="E86"/>
  <c r="AD87"/>
  <c r="D88"/>
  <c r="E96"/>
  <c r="AD97"/>
  <c r="E99"/>
  <c r="AD100"/>
  <c r="D101"/>
  <c r="AD115"/>
  <c r="AD141"/>
  <c r="E143"/>
  <c r="X163"/>
  <c r="X166"/>
  <c r="Q176"/>
  <c r="T176"/>
  <c r="E24"/>
  <c r="AD25"/>
  <c r="U45"/>
  <c r="L51"/>
  <c r="U51"/>
  <c r="D56"/>
  <c r="Z176"/>
  <c r="E59"/>
  <c r="E64"/>
  <c r="AD65"/>
  <c r="E71"/>
  <c r="E72"/>
  <c r="E73"/>
  <c r="AD74"/>
  <c r="AD76"/>
  <c r="E81"/>
  <c r="AD82"/>
  <c r="AD85"/>
  <c r="E88"/>
  <c r="AD89"/>
  <c r="L90"/>
  <c r="AD95"/>
  <c r="AD98"/>
  <c r="E101"/>
  <c r="W114"/>
  <c r="AD122"/>
  <c r="AD126"/>
  <c r="AD129"/>
  <c r="D130"/>
  <c r="AD131"/>
  <c r="AD132"/>
  <c r="AD133"/>
  <c r="E141"/>
  <c r="AD143"/>
  <c r="AD146"/>
  <c r="AD152"/>
  <c r="AD153"/>
  <c r="D157"/>
  <c r="D162"/>
  <c r="D166"/>
  <c r="D168"/>
  <c r="D169"/>
  <c r="D170"/>
  <c r="D171"/>
  <c r="X165"/>
  <c r="AD22"/>
  <c r="D23"/>
  <c r="AD24"/>
  <c r="D25"/>
  <c r="V26"/>
  <c r="D27"/>
  <c r="X83"/>
  <c r="U151"/>
  <c r="AD156"/>
  <c r="AD157"/>
  <c r="D161"/>
  <c r="AD161"/>
  <c r="D172"/>
  <c r="D175"/>
  <c r="R21"/>
  <c r="X27"/>
  <c r="AD46"/>
  <c r="AD47"/>
  <c r="U48"/>
  <c r="AD52"/>
  <c r="U53"/>
  <c r="AD59"/>
  <c r="AD60"/>
  <c r="AD61"/>
  <c r="AD62"/>
  <c r="D65"/>
  <c r="D67"/>
  <c r="AD70"/>
  <c r="AD71"/>
  <c r="AD72"/>
  <c r="AD73"/>
  <c r="AD75"/>
  <c r="D76"/>
  <c r="AD77"/>
  <c r="D78"/>
  <c r="AD79"/>
  <c r="AD80"/>
  <c r="V81"/>
  <c r="F82"/>
  <c r="V82"/>
  <c r="F83"/>
  <c r="D84"/>
  <c r="D85"/>
  <c r="AD86"/>
  <c r="D87"/>
  <c r="AD88"/>
  <c r="D89"/>
  <c r="D91"/>
  <c r="D92"/>
  <c r="D93"/>
  <c r="D94"/>
  <c r="D95"/>
  <c r="AD96"/>
  <c r="D97"/>
  <c r="D98"/>
  <c r="AD99"/>
  <c r="D100"/>
  <c r="AD101"/>
  <c r="L102"/>
  <c r="X111"/>
  <c r="U114"/>
  <c r="V114"/>
  <c r="U117"/>
  <c r="U118"/>
  <c r="U119"/>
  <c r="AD120"/>
  <c r="AD121"/>
  <c r="AD123"/>
  <c r="AD128"/>
  <c r="AD130"/>
  <c r="D133"/>
  <c r="AD137"/>
  <c r="AD139"/>
  <c r="D140"/>
  <c r="V141"/>
  <c r="D142"/>
  <c r="AD142"/>
  <c r="V143"/>
  <c r="V144"/>
  <c r="D145"/>
  <c r="D146"/>
  <c r="D147"/>
  <c r="AD149"/>
  <c r="AD154"/>
  <c r="X164"/>
  <c r="X175"/>
  <c r="R110"/>
  <c r="E110"/>
  <c r="R111"/>
  <c r="E111"/>
  <c r="R112"/>
  <c r="E112"/>
  <c r="V21"/>
  <c r="F22"/>
  <c r="V22"/>
  <c r="X22" s="1"/>
  <c r="F23"/>
  <c r="V23"/>
  <c r="X23" s="1"/>
  <c r="F24"/>
  <c r="V24"/>
  <c r="X24" s="1"/>
  <c r="F25"/>
  <c r="V25"/>
  <c r="X25" s="1"/>
  <c r="F26"/>
  <c r="X26"/>
  <c r="X28"/>
  <c r="X29"/>
  <c r="X30"/>
  <c r="X31"/>
  <c r="X32"/>
  <c r="X33"/>
  <c r="X34"/>
  <c r="X35"/>
  <c r="X36"/>
  <c r="X37"/>
  <c r="X38"/>
  <c r="X39"/>
  <c r="X40"/>
  <c r="X41"/>
  <c r="X42"/>
  <c r="X43"/>
  <c r="X45"/>
  <c r="X48"/>
  <c r="X50"/>
  <c r="X51"/>
  <c r="X53"/>
  <c r="X55"/>
  <c r="AD83"/>
  <c r="E84"/>
  <c r="AD84"/>
  <c r="L85"/>
  <c r="V85"/>
  <c r="X85" s="1"/>
  <c r="F86"/>
  <c r="V86"/>
  <c r="X86" s="1"/>
  <c r="F87"/>
  <c r="V87"/>
  <c r="X87" s="1"/>
  <c r="F88"/>
  <c r="V88"/>
  <c r="X88" s="1"/>
  <c r="F89"/>
  <c r="V89"/>
  <c r="X89" s="1"/>
  <c r="D90"/>
  <c r="AD90"/>
  <c r="E91"/>
  <c r="AD91"/>
  <c r="E92"/>
  <c r="AD92"/>
  <c r="E93"/>
  <c r="AD93"/>
  <c r="E94"/>
  <c r="AD94"/>
  <c r="L95"/>
  <c r="V95"/>
  <c r="X95" s="1"/>
  <c r="F96"/>
  <c r="V96"/>
  <c r="X96" s="1"/>
  <c r="F97"/>
  <c r="V97"/>
  <c r="X97" s="1"/>
  <c r="F98"/>
  <c r="V98"/>
  <c r="X98" s="1"/>
  <c r="F99"/>
  <c r="V99"/>
  <c r="X99" s="1"/>
  <c r="F100"/>
  <c r="V100"/>
  <c r="X100" s="1"/>
  <c r="F101"/>
  <c r="V101"/>
  <c r="X101" s="1"/>
  <c r="D102"/>
  <c r="AD102"/>
  <c r="E103"/>
  <c r="AD103"/>
  <c r="E104"/>
  <c r="AD104"/>
  <c r="E105"/>
  <c r="AD105"/>
  <c r="E106"/>
  <c r="AD106"/>
  <c r="E107"/>
  <c r="AD107"/>
  <c r="E108"/>
  <c r="AD108"/>
  <c r="E109"/>
  <c r="AD109"/>
  <c r="X110"/>
  <c r="D112"/>
  <c r="F109"/>
  <c r="E27"/>
  <c r="AD27"/>
  <c r="E28"/>
  <c r="AD28"/>
  <c r="E29"/>
  <c r="AD29"/>
  <c r="E30"/>
  <c r="AD30"/>
  <c r="E31"/>
  <c r="AD31"/>
  <c r="E32"/>
  <c r="AD32"/>
  <c r="E33"/>
  <c r="AD33"/>
  <c r="E34"/>
  <c r="AD34"/>
  <c r="E35"/>
  <c r="AD35"/>
  <c r="E36"/>
  <c r="AD36"/>
  <c r="E37"/>
  <c r="AD37"/>
  <c r="E38"/>
  <c r="AD38"/>
  <c r="E39"/>
  <c r="AD39"/>
  <c r="E40"/>
  <c r="AD40"/>
  <c r="E41"/>
  <c r="AD41"/>
  <c r="E42"/>
  <c r="AD42"/>
  <c r="E43"/>
  <c r="AD43"/>
  <c r="U44"/>
  <c r="V44"/>
  <c r="X44" s="1"/>
  <c r="D45"/>
  <c r="AD45"/>
  <c r="U46"/>
  <c r="V46"/>
  <c r="X46" s="1"/>
  <c r="U47"/>
  <c r="V47"/>
  <c r="X47" s="1"/>
  <c r="D48"/>
  <c r="AD48"/>
  <c r="U49"/>
  <c r="V49"/>
  <c r="X49" s="1"/>
  <c r="D50"/>
  <c r="AD50"/>
  <c r="AD51"/>
  <c r="U52"/>
  <c r="V52"/>
  <c r="X52" s="1"/>
  <c r="D53"/>
  <c r="AD53"/>
  <c r="U54"/>
  <c r="V54"/>
  <c r="X54" s="1"/>
  <c r="D55"/>
  <c r="AD55"/>
  <c r="E56"/>
  <c r="W56"/>
  <c r="V57"/>
  <c r="F58"/>
  <c r="V58"/>
  <c r="V59"/>
  <c r="F60"/>
  <c r="V60"/>
  <c r="X60" s="1"/>
  <c r="V61"/>
  <c r="F62"/>
  <c r="V62"/>
  <c r="V65"/>
  <c r="X65" s="1"/>
  <c r="F66"/>
  <c r="V66"/>
  <c r="V67"/>
  <c r="D68"/>
  <c r="E68"/>
  <c r="E69"/>
  <c r="F70"/>
  <c r="V70"/>
  <c r="V71"/>
  <c r="F72"/>
  <c r="V72"/>
  <c r="X72" s="1"/>
  <c r="F73"/>
  <c r="V73"/>
  <c r="X73" s="1"/>
  <c r="F74"/>
  <c r="V74"/>
  <c r="X74" s="1"/>
  <c r="F75"/>
  <c r="V75"/>
  <c r="X75" s="1"/>
  <c r="F76"/>
  <c r="V76"/>
  <c r="X76" s="1"/>
  <c r="F77"/>
  <c r="V77"/>
  <c r="X77" s="1"/>
  <c r="F78"/>
  <c r="V78"/>
  <c r="X78" s="1"/>
  <c r="F79"/>
  <c r="V79"/>
  <c r="X79" s="1"/>
  <c r="F80"/>
  <c r="V80"/>
  <c r="X80" s="1"/>
  <c r="F81"/>
  <c r="X81"/>
  <c r="X82"/>
  <c r="F84"/>
  <c r="X84"/>
  <c r="F85"/>
  <c r="X90"/>
  <c r="F91"/>
  <c r="X91"/>
  <c r="F92"/>
  <c r="X92"/>
  <c r="F93"/>
  <c r="X93"/>
  <c r="F94"/>
  <c r="X94"/>
  <c r="F95"/>
  <c r="X102"/>
  <c r="F103"/>
  <c r="X103"/>
  <c r="F104"/>
  <c r="X104"/>
  <c r="F105"/>
  <c r="X105"/>
  <c r="F106"/>
  <c r="X106"/>
  <c r="F107"/>
  <c r="X107"/>
  <c r="F108"/>
  <c r="X108"/>
  <c r="X109"/>
  <c r="X113"/>
  <c r="X114"/>
  <c r="X116"/>
  <c r="X117"/>
  <c r="X118"/>
  <c r="X119"/>
  <c r="X124"/>
  <c r="X125"/>
  <c r="X150"/>
  <c r="X151"/>
  <c r="X155"/>
  <c r="X158"/>
  <c r="X159"/>
  <c r="X160"/>
  <c r="X162"/>
  <c r="X168"/>
  <c r="X169"/>
  <c r="X170"/>
  <c r="X171"/>
  <c r="X172"/>
  <c r="X173"/>
  <c r="X174"/>
  <c r="AD110"/>
  <c r="AD111"/>
  <c r="AD112"/>
  <c r="E113"/>
  <c r="AD113"/>
  <c r="D114"/>
  <c r="AD114"/>
  <c r="U115"/>
  <c r="V115"/>
  <c r="X115" s="1"/>
  <c r="AD116"/>
  <c r="D117"/>
  <c r="AD117"/>
  <c r="D118"/>
  <c r="AD118"/>
  <c r="D119"/>
  <c r="AD119"/>
  <c r="V120"/>
  <c r="X120" s="1"/>
  <c r="U121"/>
  <c r="V121"/>
  <c r="X121" s="1"/>
  <c r="U122"/>
  <c r="V122"/>
  <c r="X122" s="1"/>
  <c r="U123"/>
  <c r="V123"/>
  <c r="X123" s="1"/>
  <c r="AD124"/>
  <c r="D125"/>
  <c r="AD125"/>
  <c r="V126"/>
  <c r="X126" s="1"/>
  <c r="U127"/>
  <c r="V127"/>
  <c r="X127" s="1"/>
  <c r="U128"/>
  <c r="V128"/>
  <c r="X128" s="1"/>
  <c r="U129"/>
  <c r="V129"/>
  <c r="X129" s="1"/>
  <c r="V130"/>
  <c r="X130" s="1"/>
  <c r="F131"/>
  <c r="V131"/>
  <c r="X131" s="1"/>
  <c r="F132"/>
  <c r="V132"/>
  <c r="X132" s="1"/>
  <c r="F133"/>
  <c r="V133"/>
  <c r="X133" s="1"/>
  <c r="F134"/>
  <c r="V134"/>
  <c r="X134" s="1"/>
  <c r="F135"/>
  <c r="V135"/>
  <c r="X135" s="1"/>
  <c r="F136"/>
  <c r="V136"/>
  <c r="X136" s="1"/>
  <c r="F137"/>
  <c r="V137"/>
  <c r="X137" s="1"/>
  <c r="F138"/>
  <c r="V138"/>
  <c r="X138" s="1"/>
  <c r="F139"/>
  <c r="V139"/>
  <c r="X139" s="1"/>
  <c r="F140"/>
  <c r="V140"/>
  <c r="X140" s="1"/>
  <c r="F141"/>
  <c r="X141"/>
  <c r="F142"/>
  <c r="X142"/>
  <c r="F143"/>
  <c r="X143"/>
  <c r="F144"/>
  <c r="X144"/>
  <c r="F145"/>
  <c r="V145"/>
  <c r="X145" s="1"/>
  <c r="F146"/>
  <c r="V146"/>
  <c r="X146" s="1"/>
  <c r="F147"/>
  <c r="V147"/>
  <c r="X147" s="1"/>
  <c r="F148"/>
  <c r="V148"/>
  <c r="X148" s="1"/>
  <c r="U149"/>
  <c r="V149"/>
  <c r="X149" s="1"/>
  <c r="AD150"/>
  <c r="D151"/>
  <c r="AD151"/>
  <c r="V152"/>
  <c r="X152" s="1"/>
  <c r="U153"/>
  <c r="V153"/>
  <c r="X153" s="1"/>
  <c r="U154"/>
  <c r="V154"/>
  <c r="X154" s="1"/>
  <c r="AD155"/>
  <c r="V156"/>
  <c r="X156" s="1"/>
  <c r="V157"/>
  <c r="X157" s="1"/>
  <c r="D158"/>
  <c r="AD158"/>
  <c r="AD159"/>
  <c r="D160"/>
  <c r="AD160"/>
  <c r="X161"/>
  <c r="AD162"/>
  <c r="AD163"/>
  <c r="AD164"/>
  <c r="E165"/>
  <c r="AD165"/>
  <c r="E166"/>
  <c r="AD166"/>
  <c r="E167"/>
  <c r="X167"/>
  <c r="AD167"/>
  <c r="E168"/>
  <c r="AD168"/>
  <c r="E169"/>
  <c r="AD169"/>
  <c r="E170"/>
  <c r="AD170"/>
  <c r="E171"/>
  <c r="AD171"/>
  <c r="E172"/>
  <c r="AD172"/>
  <c r="E173"/>
  <c r="AD173"/>
  <c r="E174"/>
  <c r="AD174"/>
  <c r="E175"/>
  <c r="AD175"/>
  <c r="R44"/>
  <c r="E44"/>
  <c r="R45"/>
  <c r="E45"/>
  <c r="R46"/>
  <c r="E46"/>
  <c r="R47"/>
  <c r="E47"/>
  <c r="R48"/>
  <c r="E48"/>
  <c r="R49"/>
  <c r="E49"/>
  <c r="F49" s="1"/>
  <c r="R50"/>
  <c r="E50"/>
  <c r="F50" s="1"/>
  <c r="R51"/>
  <c r="E51"/>
  <c r="F51" s="1"/>
  <c r="R52"/>
  <c r="E52"/>
  <c r="R53"/>
  <c r="E53"/>
  <c r="F53" s="1"/>
  <c r="R54"/>
  <c r="E54"/>
  <c r="F54" s="1"/>
  <c r="R55"/>
  <c r="E55"/>
  <c r="F55" s="1"/>
  <c r="F21"/>
  <c r="U21"/>
  <c r="X21"/>
  <c r="AD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L47"/>
  <c r="F48"/>
  <c r="F52"/>
  <c r="F56"/>
  <c r="AD56"/>
  <c r="F57"/>
  <c r="X57"/>
  <c r="X58"/>
  <c r="F59"/>
  <c r="X59"/>
  <c r="F61"/>
  <c r="X61"/>
  <c r="X62"/>
  <c r="F63"/>
  <c r="AD63"/>
  <c r="AD64"/>
  <c r="F65"/>
  <c r="X66"/>
  <c r="F67"/>
  <c r="X67"/>
  <c r="AD68"/>
  <c r="F69"/>
  <c r="AD69"/>
  <c r="X70"/>
  <c r="F71"/>
  <c r="X71"/>
  <c r="Y176"/>
  <c r="V56"/>
  <c r="X56" s="1"/>
  <c r="W176"/>
  <c r="U55"/>
  <c r="AA56"/>
  <c r="X63"/>
  <c r="F64"/>
  <c r="X64"/>
  <c r="F68"/>
  <c r="X68"/>
  <c r="X69"/>
  <c r="R114"/>
  <c r="E114"/>
  <c r="R115"/>
  <c r="E115"/>
  <c r="R116"/>
  <c r="E116"/>
  <c r="R117"/>
  <c r="E117"/>
  <c r="R118"/>
  <c r="E118"/>
  <c r="R119"/>
  <c r="E119"/>
  <c r="R120"/>
  <c r="E120"/>
  <c r="R121"/>
  <c r="E121"/>
  <c r="R122"/>
  <c r="E122"/>
  <c r="R123"/>
  <c r="E123"/>
  <c r="R124"/>
  <c r="E124"/>
  <c r="R125"/>
  <c r="E125"/>
  <c r="R126"/>
  <c r="E126"/>
  <c r="R127"/>
  <c r="E127"/>
  <c r="R128"/>
  <c r="E128"/>
  <c r="R129"/>
  <c r="E129"/>
  <c r="R130"/>
  <c r="E130"/>
  <c r="AJ114"/>
  <c r="U56"/>
  <c r="U57"/>
  <c r="U59"/>
  <c r="U61"/>
  <c r="U64"/>
  <c r="U65"/>
  <c r="U67"/>
  <c r="U68"/>
  <c r="U71"/>
  <c r="U72"/>
  <c r="U73"/>
  <c r="U76"/>
  <c r="U77"/>
  <c r="U78"/>
  <c r="U81"/>
  <c r="U82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11"/>
  <c r="U112"/>
  <c r="F113"/>
  <c r="U130"/>
  <c r="R150"/>
  <c r="E150"/>
  <c r="R151"/>
  <c r="E151"/>
  <c r="R152"/>
  <c r="E152"/>
  <c r="R153"/>
  <c r="E153"/>
  <c r="R154"/>
  <c r="E154"/>
  <c r="R155"/>
  <c r="E155"/>
  <c r="R156"/>
  <c r="E156"/>
  <c r="U133"/>
  <c r="U139"/>
  <c r="U140"/>
  <c r="U141"/>
  <c r="U142"/>
  <c r="U143"/>
  <c r="U144"/>
  <c r="U145"/>
  <c r="U146"/>
  <c r="U147"/>
  <c r="U148"/>
  <c r="F149"/>
  <c r="U157"/>
  <c r="U158"/>
  <c r="U160"/>
  <c r="U161"/>
  <c r="U162"/>
  <c r="U164"/>
  <c r="AA167"/>
  <c r="E157"/>
  <c r="E158"/>
  <c r="E159"/>
  <c r="E160"/>
  <c r="E161"/>
  <c r="E162"/>
  <c r="E163"/>
  <c r="E164"/>
  <c r="U166"/>
  <c r="U167"/>
  <c r="U168"/>
  <c r="U169"/>
  <c r="U170"/>
  <c r="U171"/>
  <c r="U172"/>
  <c r="F47" l="1"/>
  <c r="F46"/>
  <c r="F45"/>
  <c r="F44"/>
  <c r="F163"/>
  <c r="F112"/>
  <c r="R176"/>
  <c r="F175"/>
  <c r="F174"/>
  <c r="F173"/>
  <c r="F172"/>
  <c r="F171"/>
  <c r="F170"/>
  <c r="F169"/>
  <c r="F168"/>
  <c r="F166"/>
  <c r="F27"/>
  <c r="F102"/>
  <c r="F90"/>
  <c r="F161"/>
  <c r="F167"/>
  <c r="F165"/>
  <c r="F43"/>
  <c r="F42"/>
  <c r="F41"/>
  <c r="F40"/>
  <c r="F39"/>
  <c r="F38"/>
  <c r="F37"/>
  <c r="F36"/>
  <c r="F35"/>
  <c r="F34"/>
  <c r="F33"/>
  <c r="F32"/>
  <c r="F31"/>
  <c r="F30"/>
  <c r="F29"/>
  <c r="F28"/>
  <c r="AC176"/>
  <c r="D176"/>
  <c r="F111"/>
  <c r="F110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AD176"/>
  <c r="F162"/>
  <c r="F160"/>
  <c r="E176"/>
  <c r="V176"/>
  <c r="L176"/>
  <c r="F157"/>
  <c r="F156"/>
  <c r="F155"/>
  <c r="F154"/>
  <c r="F153"/>
  <c r="F152"/>
  <c r="F151"/>
  <c r="F150"/>
  <c r="U176"/>
  <c r="F164"/>
  <c r="F159"/>
  <c r="F158"/>
  <c r="AA176"/>
  <c r="AJ176"/>
  <c r="X176"/>
  <c r="F176"/>
</calcChain>
</file>

<file path=xl/sharedStrings.xml><?xml version="1.0" encoding="utf-8"?>
<sst xmlns="http://schemas.openxmlformats.org/spreadsheetml/2006/main" count="228" uniqueCount="196">
  <si>
    <t>No</t>
  </si>
  <si>
    <t>ՊՈԱԿ­ի անվանումը</t>
  </si>
  <si>
    <t>Ը Ն Դ Ա Մ Ե Ն Ը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</si>
  <si>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</si>
  <si>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</si>
  <si>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</si>
  <si>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 xml:space="preserve">Փաստացի (դրամարկղային) ցուցանիշը </t>
  </si>
  <si>
    <t>ԱՇԽԱՏԱՆՔԻ ՎԱՐՁԱՏՐՈՒԹՅՈՒՆ ԵՎ ԴՐԱՆ ՀԱՎԱՍԱՐԵՑՎԱԾ ՎՃԱՐՈՒՄՆԵՐ /այդ թվում` ԵԿԱՄՏԱՅԻՆ ՀԱՐԿ/</t>
  </si>
  <si>
    <t xml:space="preserve">ԴՐԱՄԱՇՆՈՐՀՆԵՐ ԵՎ ԱՅԼ ՏՐԱՆՍՖԵՐՏՆԵՐ </t>
  </si>
  <si>
    <t xml:space="preserve">ԾԱՌԱՅՈՒԹՅՈՒՆՆԵՐԻ ԵՎ ԱՊՐԱՆՔՆԵՐԻ ՁԵՌՔ ԲԵՐՄԱՆ ԴԻՄԱՑ ՎՃԱՐՈՒՄՆԵՐ </t>
  </si>
  <si>
    <t>ԱՅԼ ԾԱԽՍԵՐ</t>
  </si>
  <si>
    <t>Ծրագրային և փաստացի ցուցանիշների միջև շեղումը</t>
  </si>
  <si>
    <t>ԸՆԴԱՄԵՆԸ ԳՈՐԾԱՌՆԱԿԱՆ ԵԿԱՄՈՒՏՆԵՐ</t>
  </si>
  <si>
    <t>ԸՆԴԱՄԵՆԸ ԳՈՐԾԱՌՆԱԿԱՆ ԾԱԽՍԵՐ</t>
  </si>
  <si>
    <t xml:space="preserve">Հայաստանի Հանրապետության </t>
  </si>
  <si>
    <t xml:space="preserve">ֆինանսների նախարարի </t>
  </si>
  <si>
    <t>(ստորագրություն)</t>
  </si>
  <si>
    <t>ա յ դ   թ վ ու մ`</t>
  </si>
  <si>
    <t>հազ. դրամ</t>
  </si>
  <si>
    <t>Ձև N 3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</si>
  <si>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</si>
  <si>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</si>
  <si>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Դրամական միջոցների տարեսկզբի (հաշվետու ժամանակաշրջանի սկզբի) մնացորդը</t>
  </si>
  <si>
    <t xml:space="preserve">                 ՀԱՇՎԵՏՎՈՒԹՅՈՒՆ</t>
  </si>
  <si>
    <t>Հավելված N 3</t>
  </si>
  <si>
    <t xml:space="preserve">Համակարգի բոլոր ՊՈԱԿ-ների գծով ամփոփ (ընդգծել)  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</si>
  <si>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</si>
  <si>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</si>
  <si>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</si>
  <si>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 xml:space="preserve">Ծրագրային ցուցանիշը </t>
  </si>
  <si>
    <t xml:space="preserve">Ծրագրային ցուցանիշը  </t>
  </si>
  <si>
    <t>2013 թվականի փետրվարի 4-ի  N 104-Ն հրամանի</t>
  </si>
  <si>
    <t>Վ.ԱՐԵՎՇԱՏՅԱՆ</t>
  </si>
  <si>
    <t>Մ.ԳԵՎՈՐԳՅԱՆ</t>
  </si>
  <si>
    <t>Երևանի Խրիմյան Հայրիկի անվան հ.10 հիմնական դպրոց</t>
  </si>
  <si>
    <t>Երևանի Նար-Դոսի անվան հ.14 հիմնական դպրոց</t>
  </si>
  <si>
    <t xml:space="preserve">Երևանի «Հակոբ Կոջոյան» կրթահամալիր </t>
  </si>
  <si>
    <t>Երևանի Ս.Սպանդարյանի անվան հ.24 հիմնական դպրոց</t>
  </si>
  <si>
    <t>Երևանի Գ.Աթարբեկյանի անվան հ.61 հիմնական դպրոց</t>
  </si>
  <si>
    <t>Երևանի հ.157 հիմնական դպրոց</t>
  </si>
  <si>
    <t>Երևանի Ա.Միկոյանի անվան հ.166 հիմնական դպրոց</t>
  </si>
  <si>
    <t>Երևանի հ.22 հիմնական դպրոց</t>
  </si>
  <si>
    <t>Երևանի հ.100 հիմնական դպրոց</t>
  </si>
  <si>
    <t>Երևանի հ.102 հիմնական դպրոց</t>
  </si>
  <si>
    <t xml:space="preserve">Երևանի հ.108 միջնակարգ դպրոց </t>
  </si>
  <si>
    <t>Երևանի Ալ. Բլոկի անվան հ.122 հիմնական դպրոց</t>
  </si>
  <si>
    <t>Երևանի Հ.Մորգենթաուի անվան հ.126 հիմնական դպրոց</t>
  </si>
  <si>
    <t>Երևանի հ.156 հիմնական դպրոց</t>
  </si>
  <si>
    <t xml:space="preserve">Երևանի Ա. Մանուկյանի անվան հ.93 միջնակարգ դպրոց </t>
  </si>
  <si>
    <t>Երևանի Ա.Նավասարդյանի անվան հ.196 հիմնական դպրոց</t>
  </si>
  <si>
    <t>Երևանի Ս.Լիսիցյանի անվան հ.34 հիմնական դպրոց</t>
  </si>
  <si>
    <t>Երևանի Ն.Գոգոլի անվան հ.35 հիմնական դպրոց</t>
  </si>
  <si>
    <t>Երևանի Հ.45 հիմնական դպրոց</t>
  </si>
  <si>
    <t>Երևանի Հ.49 հիմնական դպրոց</t>
  </si>
  <si>
    <t>Երևանի Մուշեղ Մխոյանի անվան  հ.68 հիմնական դպրոց</t>
  </si>
  <si>
    <t>Երևանի Հ.Սահյանի անվան հ.70 հիմնական դպրոց</t>
  </si>
  <si>
    <t>Երևանի հ.178 հիմնական դպրոց</t>
  </si>
  <si>
    <t>Երևանի Արմեն Հովհաննիսյանի անվան հ.194 հիմնական դպրոց</t>
  </si>
  <si>
    <t>Երևանի Ռ.Միրոյանի անվան հ.77 հիմնական դպրոց</t>
  </si>
  <si>
    <t>Երևանի Ռ.Սեւակի անվան հ.151 հիմնական դպրոց</t>
  </si>
  <si>
    <t>ԱՇԽԱՏԱԿԱԶՄԻ ՖԻՆԱՆՍԱԿԱՆ ՎԱՐՉՈՒԹՅԱՆ ՊԵՏ</t>
  </si>
  <si>
    <t>(անուն, ազգանուն)</t>
  </si>
  <si>
    <t xml:space="preserve">ԱՇԽԱՏԱԿԱԶՄԻ ՖԻՆԱՆՍԱԿԱՆ ՎԱՐՉՈՒԹՅԱՆ ԿԱԶՄԱԿԵՐՊՈՒԹՅՈՒՆՆԵՐԻ ԵԿԱՄՈՒՏՆԵՐԻ ՈՒ ԾԱԽՍԵՐԻ ԾԱՐԳՐԱՎՈՐՄԱՆ ԵՎ ՄՈՆԻՏՈՐԻՆԳԻ ԲԱԺՆԻ ՊԵՏ </t>
  </si>
  <si>
    <t xml:space="preserve">Պետական կառավարման լիազորված մարմնի անվանումը     </t>
  </si>
  <si>
    <t>ԵՐԵՎԱՆԻ ՔԱՂԱՔԱՊԵՏԱՐԱՆ</t>
  </si>
  <si>
    <t xml:space="preserve">Պետական ոչ առևտրային կազմակերպության անվանումը       </t>
  </si>
  <si>
    <t>Երևանի Ստ.Շահումյանի անվան հ.1 հիմնական դպրոց</t>
  </si>
  <si>
    <t>Երևանի Խ.Աբովյանի անվան հ.2 հիմնական դպրոց</t>
  </si>
  <si>
    <t>Երևանի Լ.Շանթի անվան հ.4 հիմնական դպրոց</t>
  </si>
  <si>
    <t>Երևանի Մ.Իշխանի անվան հ.5 հիմնական դպրոց</t>
  </si>
  <si>
    <t>Երևանի Վ.Մայակովսկու անվան հ.7 հիմնական դպրոց</t>
  </si>
  <si>
    <t>Երևանի Ալ.Պուշկինի անվան հ.8 հիմնական դպրոց</t>
  </si>
  <si>
    <t>Երևանի Է.Թելմանի անվան հ.13 հիմնական դպրոց</t>
  </si>
  <si>
    <t>Երևանի Ն.Աղբալյանի անվան հ.19 հիմնական դպրոց</t>
  </si>
  <si>
    <t>Երևանի Ջ.Կիրակոսյանի անվան  հ.20 հիմնական դպրոց</t>
  </si>
  <si>
    <t>Երևանի Մ.Նալբանդյանի անվան հ.33 հիմնական դպրոց</t>
  </si>
  <si>
    <t>Երևանի հ.39 հիմնական դպրոց</t>
  </si>
  <si>
    <t>Երևանի Ա.Շավարշյանի անվան հ.40 հիմնական դպրոց</t>
  </si>
  <si>
    <t>Երևանի Ա Խանջյանի անվան հ.53 հիմնական դպրոց</t>
  </si>
  <si>
    <t>Երևանի Ա.Չեխովի անվան հ.55 հիմնական դպրոց</t>
  </si>
  <si>
    <t>Երևանի Ե.Չարենցի անվան հ.67 հիմնական դպրոց</t>
  </si>
  <si>
    <t>Երևանի Ն.Ստեփանյանի անվան հ.71 հիմնական դպրոց</t>
  </si>
  <si>
    <t>Երևանի Վ.Վաղարշյանի անվան հ.80 հիմնական դպրոց</t>
  </si>
  <si>
    <t>Երևանի Ա.Արմենակյանի անվան հ.26 հիմնական դպրոց</t>
  </si>
  <si>
    <t>Երևանի Յ.Լեփսիուսի անվան հ.88 հիմնական դպրոց</t>
  </si>
  <si>
    <t>Երևանի «Վարդանանց ասպետներ»  հ.106 հիմնական դպրոց</t>
  </si>
  <si>
    <t>Երևանի Գ.Ադդարյանի անվան հ.133 հիմնական դպրոց</t>
  </si>
  <si>
    <t>Երևանի հ.134 հիմնական դպրոց</t>
  </si>
  <si>
    <t>Երևանի Գագիկ Ստեփանյանի անվան հ.135 հիմնական դպրոց</t>
  </si>
  <si>
    <t>Երևանի Գր.Բաղյանի անվան հ.141 հիմնական դպրոց</t>
  </si>
  <si>
    <t>Երևանի Մ.Խորենացու անվան հ.143 հիմնական դպրոց</t>
  </si>
  <si>
    <t>Երևանի հ.163 հիմնական դպրոց</t>
  </si>
  <si>
    <t>Երևանի Ն.Սաֆարյանի անվան հ.164 հիմնական դպրոց</t>
  </si>
  <si>
    <t>Երևանի հ.186 հիմնական դպրոց</t>
  </si>
  <si>
    <t>Երևանի հ.187 միջնակարգ դպրոց</t>
  </si>
  <si>
    <t>Երևանի հ.197 հիմնական դպրոց</t>
  </si>
  <si>
    <t>Երևանի Մոնթե Մելքոնյանի անվան հ. 11 հիմնական դպրոց</t>
  </si>
  <si>
    <t>Երևանի Դ.Վարուժանի անվան հ.89 հիմնական դպրոց</t>
  </si>
  <si>
    <t>Երևանի Վահան Զատիկյանի անվան հ.90 հիմնական դպրոց</t>
  </si>
  <si>
    <t>Երևանի հ.91 հիմնական դպրոց</t>
  </si>
  <si>
    <t>Երևանի Ն.Խաչատրյանի անվան հ.113 միջնակարգ դպրոց</t>
  </si>
  <si>
    <t>Երևանի հ.116 հիմնական դպրոց</t>
  </si>
  <si>
    <t>Երևանի Է.Բոյաջյանի անվան հ.121 հիմնական դպրոց</t>
  </si>
  <si>
    <t>Երևանի հ.152 հիմնական դպրոց</t>
  </si>
  <si>
    <t>Երևանի Սիամանթոյի անվան հ.162 հիմնական դպրոց</t>
  </si>
  <si>
    <t>Երևանի հ.174 հիմնական դպրոց</t>
  </si>
  <si>
    <t>Երևանի Գ.Մահարու անվան հ.176 հիմնական դպրոց</t>
  </si>
  <si>
    <t>Երևանի հ. 179 հիմնական դպրոց</t>
  </si>
  <si>
    <t>Երևանի հ. 181 հիմնական դպրոց</t>
  </si>
  <si>
    <t>Երևանի Դ.Հովսեփյանի անվան հ.191 հիմնական դպրոց</t>
  </si>
  <si>
    <t xml:space="preserve">Երևանի Ջիվան Աբրահամյանի անվան հ.111 հիմնական դպրոց </t>
  </si>
  <si>
    <t>Երևանի Պ.Յավորովի անվա  հ.131 հիմնական դպրոց</t>
  </si>
  <si>
    <t>Երևանի Վ.Սարոյանի անվան հ.138 հիմնական դպրոց</t>
  </si>
  <si>
    <t>Երևանի Մ.Մեծարենցի անվան հ.146 հիմնական դպրոց</t>
  </si>
  <si>
    <t>Երևանի Ռաֆայել Իշխանյանի անվան հ.153 հիմնական դպրոց</t>
  </si>
  <si>
    <t>Երևանի Լ.Միրիջանյանի անվան հ.155 հիմնական դպրոց</t>
  </si>
  <si>
    <t>Երևանի Ամենայն Հայոց Կաթողիկոս Վազգեն Առաջինի անվան հ.168 հիմնական դպրոց</t>
  </si>
  <si>
    <t xml:space="preserve">Երևանի հ.185 հիմնական դպրոց </t>
  </si>
  <si>
    <t>Երևանի Գ.Չաուշի անվան հ.188 հիմնական դպրոց</t>
  </si>
  <si>
    <t>Երևանի Գ.Վարդանյանի անվան հ.192 հիմնական դպրոց</t>
  </si>
  <si>
    <t>Երևանի Հենրիկ Խաչատրյանի անվան հ.199 հիմնական դպրոց</t>
  </si>
  <si>
    <t>Երևանի հ.200 հիմնական դպրոց</t>
  </si>
  <si>
    <t>Երևանի Հ.Կարապենցի անվան հ.6 հիմնական դպրոց</t>
  </si>
  <si>
    <t xml:space="preserve">Երևանի Վ.Համբարձումյանի անվան հ.17 հիմնական դպրոց  </t>
  </si>
  <si>
    <t>Երևանի Խ.Սամուելյանի անվան հ.47 միջնակարգ դպրոց</t>
  </si>
  <si>
    <t>Երևանի Վ.Տերյանի անվան  հ.60 հիմնական դպրոց</t>
  </si>
  <si>
    <t>Երևանի հ.64  հիմնական դպրոց</t>
  </si>
  <si>
    <t xml:space="preserve">Երևանի հ.101 միջնակարգ դպրոց  </t>
  </si>
  <si>
    <t xml:space="preserve">Երևանի հ.107 միջնակարգ դպրոց  </t>
  </si>
  <si>
    <t>Երևանի հ.120 հիմնական դպրոց</t>
  </si>
  <si>
    <t xml:space="preserve">Երևանի Պ.Սեւակի անվան հ.123 հիմնական դպրոց </t>
  </si>
  <si>
    <t>Երևանի հ.160 հիմնական դպրոց</t>
  </si>
  <si>
    <t>Երևանի հ.167 հիմնական դպրոց</t>
  </si>
  <si>
    <t xml:space="preserve">Երևանի Ղ.Ալիշանի անվան հ.95 միջնակարգ դպրոց  </t>
  </si>
  <si>
    <t xml:space="preserve">Երևանի հ.175 միջնակարգ դպրոց   </t>
  </si>
  <si>
    <t>Երևանի Վ.Համբարձումյանի անվան հ.12 հիմնական դպրոց</t>
  </si>
  <si>
    <t>Երևանի Մուրացանի անվան հ.18 հիմնական դպրոց</t>
  </si>
  <si>
    <t>Երևանի Դ.Դեմիրճյանի անվան հ.27 հիմնական դպրոց</t>
  </si>
  <si>
    <t>Երևանի հ.31 հիմնական դպրոց</t>
  </si>
  <si>
    <t>Երևանի Հովհ.Թումանյանի անվան հ.32 հիմնական դպրոց</t>
  </si>
  <si>
    <t>Երևանի Վ.Բելինսկու անվան հ.38 հիմնական դպրոց</t>
  </si>
  <si>
    <t>Երևանի հ.50 հիմնական դպրոց</t>
  </si>
  <si>
    <t>Երևանի Հովհ.Հովհաննիսյանի անվան հ.52 հիմնական դպրոց</t>
  </si>
  <si>
    <t>Երևանի Ալ.Մյասնիկյանի անվան հ.66 հիմնական դպրոց</t>
  </si>
  <si>
    <t>Երևանի Ա.Սախարովի անվան հ.69 հիմնական դպրոց</t>
  </si>
  <si>
    <t>Երևանի Հ.Ավետիսյանի անվան հ.74 հիմնական դպրոց</t>
  </si>
  <si>
    <t>Երևանի հ.75 հիմնական դպրոց</t>
  </si>
  <si>
    <t>Երևանի Մովսես Ջամբազյանի անվան հ.79 հիմնական դպրոց</t>
  </si>
  <si>
    <t>Երևանի Մարտիրոս Սարյանի անվան հ.86 հիմնական դպրոց</t>
  </si>
  <si>
    <t>Երևանի հ.98 հիմնական դպրոց</t>
  </si>
  <si>
    <t>Երևանի հ.99 հիմնական դպրոց</t>
  </si>
  <si>
    <t>Երևանի հ.110 հիմնական դպրոց</t>
  </si>
  <si>
    <t>Երևանի Գր.Նարեկացու անվան հ.137 հիմնական դպրոց</t>
  </si>
  <si>
    <t>Երևանի հ.140 հիմնական դպրոց</t>
  </si>
  <si>
    <t>Երևանի հ.144 հիմնական դպրոց</t>
  </si>
  <si>
    <t>Երևանի հ.154 հիմնական դպրոց</t>
  </si>
  <si>
    <t>Երևանի ՄովսեսԳորգիսյանի անվան հ.158 հիմնական դպրոց</t>
  </si>
  <si>
    <t>Երևանի Գարեգին Նժդեհի անվան հ.161 հիմնական դպրոց</t>
  </si>
  <si>
    <t>Երևանի Հովհ.Շիրազի անվան հ.169 հիմնական դպրոց</t>
  </si>
  <si>
    <t>Երևանի Վ.Վարդեւանյանի անվան հ.173 հիմնական դպրոց</t>
  </si>
  <si>
    <t>Երևանի Ալ.Շիրվանզադեի անվան  հ.21 հիմնական դպրոց</t>
  </si>
  <si>
    <t>Երևանի Րաֆֆու անվան հ.36 հիմնական դպրոց</t>
  </si>
  <si>
    <t>Երևանի հ.37 հիմնական դպրոց</t>
  </si>
  <si>
    <t>Երևանի Վ.Պետրոսյանի անվան հ.51 հիմնական դպրոց</t>
  </si>
  <si>
    <t>Երևանի Ստ.Զորյանի անվան հ.56 հիմնական դպրոց</t>
  </si>
  <si>
    <t>Երևանի  Ղ.Աղայանի անվան հ.63 հիմնական դպրոց</t>
  </si>
  <si>
    <t>Երևանի «Արգենտինյան Հանրապետություն» հ.76 հիմնական դպրոց</t>
  </si>
  <si>
    <t>Երևանի Հ.Հայրապետյանի անվան հ.78 հիմնական դպրոց</t>
  </si>
  <si>
    <t>Երևանի Հ.Պողոսյանի անվան հ.82 հիմնական դպրոց</t>
  </si>
  <si>
    <t>Երևանի Լ.Տոլստոյի անվան հ.128 հիմնական դպրոց</t>
  </si>
  <si>
    <t>Երևանի Գայի (Հայկ Բժշկյանց) անվան  հ.129 հիմնական դպրոց</t>
  </si>
  <si>
    <t>Երևանի Ն.Զարյանի անվան հ.130 հիմնական դպրոց</t>
  </si>
  <si>
    <t>Երևանի Հ.Իսակովի անվան հ.132 հիմնական դպրոց</t>
  </si>
  <si>
    <t>Երևանի Ս.Կապուտիկյանի անվան հ.145 հիմնական դպրոց</t>
  </si>
  <si>
    <t>Երևանի Հ.Օշականի անվան  հ.172 հիմնական դպրոց</t>
  </si>
  <si>
    <t>Երևանի Հրանտ Դինքի անվան հ.44 հիմնական դպրոց</t>
  </si>
  <si>
    <t>Երևանի Մ.Մանուշյանի անվան հ.48 հիմնական դպրոց</t>
  </si>
  <si>
    <t>Երևանի Հ.Պարոնյանի անվան հ.59 հիմնական դպրոց</t>
  </si>
  <si>
    <t>Երևանի Խ.Աբովյանի անվան հ.84 հիմնական դպրոց</t>
  </si>
  <si>
    <t>Երևանի Սամվել Շահմուրադյանի անվան  հ.85 հիմնական դպրոց</t>
  </si>
  <si>
    <t>Երևանի Կ.Զարյանի անվան հ.117 հիմնական դպրոց</t>
  </si>
  <si>
    <t>Երևանի Ս.Բյուրատի անվան հ.125 հիմնական դպրոց</t>
  </si>
  <si>
    <t>Երևանի հ.136 հիմնական դպրոց</t>
  </si>
  <si>
    <t>Երևանի հ.147 հիմնական դպրոց</t>
  </si>
  <si>
    <t>Երևանի հ.87 միջնակարգ դպրոց</t>
  </si>
  <si>
    <t>Երևանի հ.104 հիմնական դպրոց</t>
  </si>
  <si>
    <t>Երևանի Ներսես Մեծի անվան հ.124 հիմնական դպրոց</t>
  </si>
  <si>
    <t>Երևանի հ.171 հիմնական դպրոց</t>
  </si>
  <si>
    <t>Երևանի Գ.Ստարովոյտովայի անվան  հ.177 հիմնական դպրոց</t>
  </si>
  <si>
    <t>Երևանի հ.180 հիմնական դպրոց</t>
  </si>
  <si>
    <t xml:space="preserve">Երևանի մտավոր թերզարգացում ունեցող երեխաների հ.2 հատուկ (օժանդակ) դպրոց </t>
  </si>
  <si>
    <t xml:space="preserve">Երևանի մտավոր թերզարգացում ունեցող երեխաների հ.6 հատուկ (օժանդակ) դպրոց </t>
  </si>
  <si>
    <t>Երևանի խոսքի ծանր խանգարումներ ունեցող երեխաների հ.8 հատուկ կրթահամալիր</t>
  </si>
  <si>
    <t>Երևանի Ֆրիտյոֆ Նանսենի անվան  հ.150 հիմնական դպրոց</t>
  </si>
  <si>
    <t>Երևանի Հրանտ Մաթևոսյանի անվան հիմնական դպրոց</t>
  </si>
  <si>
    <t xml:space="preserve">   (01.01.2018թ. --  31.03.2018թ. ժամանակահատվածի համար)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</si>
</sst>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25">
    <font>
      <sz val="10"/>
      <name val="Arial"/>
    </font>
    <font>
      <sz val="10"/>
      <name val="GHEA Grapalat"/>
      <family val="3"/>
    </font>
    <font>
      <sz val="14"/>
      <name val="GHEA Grapalat"/>
      <family val="3"/>
    </font>
    <font>
      <sz val="8"/>
      <name val="GHEA Grapalat"/>
      <family val="3"/>
    </font>
    <font>
      <sz val="12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13"/>
      <name val="GHEA Grapalat"/>
      <family val="3"/>
    </font>
    <font>
      <i/>
      <sz val="10"/>
      <name val="GHEA Grapalat"/>
      <family val="3"/>
    </font>
    <font>
      <sz val="7.5"/>
      <color indexed="8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3"/>
      <name val="GHEA Grapalat"/>
      <family val="3"/>
    </font>
    <font>
      <b/>
      <sz val="14"/>
      <name val="GHEA Grapalat"/>
      <family val="3"/>
    </font>
    <font>
      <sz val="10"/>
      <color indexed="8"/>
      <name val="GHEA Grapalat"/>
      <family val="3"/>
    </font>
    <font>
      <b/>
      <u/>
      <sz val="14"/>
      <name val="GHEA Grapalat"/>
      <family val="3"/>
    </font>
    <font>
      <sz val="10"/>
      <name val="Arial"/>
      <family val="2"/>
      <charset val="204"/>
    </font>
    <font>
      <b/>
      <i/>
      <sz val="8"/>
      <name val="GHEA Grapalat"/>
      <family val="3"/>
    </font>
    <font>
      <sz val="7"/>
      <name val="GHEA Grapalat"/>
      <family val="3"/>
    </font>
    <font>
      <sz val="10"/>
      <name val="Arial"/>
      <family val="2"/>
      <charset val="204"/>
    </font>
    <font>
      <sz val="9"/>
      <color theme="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0" fillId="0" borderId="0"/>
    <xf numFmtId="0" fontId="23" fillId="0" borderId="0" applyFont="0" applyFill="0" applyBorder="0" applyAlignment="0" applyProtection="0"/>
  </cellStyleXfs>
  <cellXfs count="121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15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 applyProtection="1">
      <alignment horizontal="center" vertical="center" wrapText="1"/>
      <protection hidden="1"/>
    </xf>
    <xf numFmtId="0" fontId="1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left" vertical="center" wrapText="1"/>
      <protection hidden="1"/>
    </xf>
    <xf numFmtId="164" fontId="14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2" xfId="0" applyNumberFormat="1" applyFont="1" applyFill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9" fillId="2" borderId="16" xfId="0" applyNumberFormat="1" applyFont="1" applyFill="1" applyBorder="1" applyAlignment="1" applyProtection="1">
      <alignment horizontal="center" vertical="center"/>
      <protection hidden="1"/>
    </xf>
    <xf numFmtId="164" fontId="14" fillId="2" borderId="1" xfId="0" applyNumberFormat="1" applyFont="1" applyFill="1" applyBorder="1" applyAlignment="1" applyProtection="1">
      <alignment horizontal="center" vertical="center"/>
      <protection hidden="1"/>
    </xf>
    <xf numFmtId="164" fontId="14" fillId="2" borderId="15" xfId="0" applyNumberFormat="1" applyFont="1" applyFill="1" applyBorder="1" applyAlignment="1" applyProtection="1">
      <alignment horizontal="center" vertical="center"/>
      <protection hidden="1"/>
    </xf>
    <xf numFmtId="164" fontId="9" fillId="2" borderId="13" xfId="0" applyNumberFormat="1" applyFont="1" applyFill="1" applyBorder="1" applyAlignment="1" applyProtection="1">
      <alignment horizontal="center" vertical="center"/>
      <protection hidden="1"/>
    </xf>
    <xf numFmtId="164" fontId="14" fillId="2" borderId="4" xfId="0" applyNumberFormat="1" applyFont="1" applyFill="1" applyBorder="1" applyAlignment="1" applyProtection="1">
      <alignment horizontal="center" vertical="center"/>
      <protection hidden="1"/>
    </xf>
    <xf numFmtId="164" fontId="14" fillId="2" borderId="12" xfId="0" applyNumberFormat="1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164" fontId="24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24" fillId="2" borderId="1" xfId="0" applyNumberFormat="1" applyFont="1" applyFill="1" applyBorder="1" applyAlignment="1" applyProtection="1">
      <alignment horizontal="center" vertical="center"/>
      <protection hidden="1"/>
    </xf>
    <xf numFmtId="164" fontId="24" fillId="2" borderId="15" xfId="0" applyNumberFormat="1" applyFont="1" applyFill="1" applyBorder="1" applyAlignment="1" applyProtection="1">
      <alignment horizontal="center" vertical="center"/>
      <protection hidden="1"/>
    </xf>
    <xf numFmtId="164" fontId="24" fillId="2" borderId="4" xfId="0" applyNumberFormat="1" applyFont="1" applyFill="1" applyBorder="1" applyAlignment="1" applyProtection="1">
      <alignment horizontal="center" vertical="center"/>
      <protection hidden="1"/>
    </xf>
    <xf numFmtId="164" fontId="24" fillId="2" borderId="12" xfId="0" applyNumberFormat="1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164" fontId="14" fillId="2" borderId="19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164" fontId="14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9" xfId="0" applyNumberFormat="1" applyFont="1" applyFill="1" applyBorder="1" applyAlignment="1" applyProtection="1">
      <alignment horizontal="center" vertical="center"/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hidden="1"/>
    </xf>
    <xf numFmtId="164" fontId="9" fillId="2" borderId="17" xfId="0" applyNumberFormat="1" applyFont="1" applyFill="1" applyBorder="1" applyAlignment="1" applyProtection="1">
      <alignment horizontal="center" vertical="center"/>
      <protection hidden="1"/>
    </xf>
    <xf numFmtId="164" fontId="14" fillId="2" borderId="7" xfId="0" applyNumberFormat="1" applyFont="1" applyFill="1" applyBorder="1" applyAlignment="1" applyProtection="1">
      <alignment horizontal="center" vertical="center"/>
      <protection hidden="1"/>
    </xf>
    <xf numFmtId="164" fontId="14" fillId="2" borderId="30" xfId="0" applyNumberFormat="1" applyFont="1" applyFill="1" applyBorder="1" applyAlignment="1" applyProtection="1">
      <alignment horizontal="center" vertical="center"/>
      <protection hidden="1"/>
    </xf>
    <xf numFmtId="164" fontId="9" fillId="2" borderId="20" xfId="0" applyNumberFormat="1" applyFont="1" applyFill="1" applyBorder="1" applyAlignment="1" applyProtection="1">
      <alignment horizontal="center" vertical="center"/>
      <protection hidden="1"/>
    </xf>
    <xf numFmtId="164" fontId="14" fillId="2" borderId="22" xfId="0" applyNumberFormat="1" applyFont="1" applyFill="1" applyBorder="1" applyAlignment="1" applyProtection="1">
      <alignment horizontal="center" vertical="center"/>
      <protection hidden="1"/>
    </xf>
    <xf numFmtId="164" fontId="14" fillId="2" borderId="29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vertical="center" wrapText="1"/>
      <protection hidden="1"/>
    </xf>
    <xf numFmtId="164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164" fontId="15" fillId="2" borderId="0" xfId="0" applyNumberFormat="1" applyFont="1" applyFill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</cellXfs>
  <cellStyles count="4">
    <cellStyle name="Comma 2" xfId="1"/>
    <cellStyle name="Comma 3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0"/>
  <sheetViews>
    <sheetView tabSelected="1" view="pageBreakPreview" topLeftCell="U157" zoomScaleSheetLayoutView="100" workbookViewId="0">
      <selection activeCell="AG161" sqref="AG161"/>
    </sheetView>
  </sheetViews>
  <sheetFormatPr defaultRowHeight="13.5"/>
  <cols>
    <col min="1" max="1" width="5.5703125" style="1" customWidth="1"/>
    <col min="2" max="2" width="58.28515625" style="1" customWidth="1"/>
    <col min="3" max="3" width="16.28515625" style="1" customWidth="1"/>
    <col min="4" max="4" width="16" style="1" customWidth="1"/>
    <col min="5" max="5" width="13.85546875" style="1" customWidth="1"/>
    <col min="6" max="6" width="16" style="1" customWidth="1"/>
    <col min="7" max="9" width="16.28515625" style="1" customWidth="1"/>
    <col min="10" max="10" width="11.7109375" style="1" customWidth="1"/>
    <col min="11" max="11" width="13.85546875" style="1" customWidth="1"/>
    <col min="12" max="12" width="11.7109375" style="1" customWidth="1"/>
    <col min="13" max="13" width="9.42578125" style="1" customWidth="1"/>
    <col min="14" max="14" width="13.140625" style="1" customWidth="1"/>
    <col min="15" max="15" width="12.28515625" style="1" customWidth="1"/>
    <col min="16" max="16" width="12.85546875" style="1" customWidth="1"/>
    <col min="17" max="17" width="13.140625" style="1" customWidth="1"/>
    <col min="18" max="18" width="13.28515625" style="1" customWidth="1"/>
    <col min="19" max="19" width="9.7109375" style="1" customWidth="1"/>
    <col min="20" max="20" width="12.85546875" style="3" customWidth="1"/>
    <col min="21" max="21" width="11.7109375" style="1" customWidth="1"/>
    <col min="22" max="22" width="13.140625" style="1" customWidth="1"/>
    <col min="23" max="23" width="12.7109375" style="1" customWidth="1"/>
    <col min="24" max="24" width="12" style="1" customWidth="1"/>
    <col min="25" max="25" width="13.42578125" style="1" customWidth="1"/>
    <col min="26" max="26" width="13.42578125" style="4" customWidth="1"/>
    <col min="27" max="34" width="13.42578125" style="1" customWidth="1"/>
    <col min="35" max="35" width="13.42578125" style="4" customWidth="1"/>
    <col min="36" max="36" width="13.42578125" style="1" customWidth="1"/>
    <col min="37" max="41" width="9.140625" style="1" customWidth="1"/>
    <col min="42" max="16384" width="9.140625" style="1"/>
  </cols>
  <sheetData>
    <row r="1" spans="1:25">
      <c r="I1" s="2" t="s">
        <v>24</v>
      </c>
    </row>
    <row r="2" spans="1:25">
      <c r="I2" s="2" t="s">
        <v>19</v>
      </c>
    </row>
    <row r="3" spans="1:25">
      <c r="I3" s="2" t="s">
        <v>14</v>
      </c>
    </row>
    <row r="4" spans="1:25">
      <c r="I4" s="2" t="s">
        <v>15</v>
      </c>
    </row>
    <row r="5" spans="1:25">
      <c r="I5" s="2" t="s">
        <v>31</v>
      </c>
      <c r="M5" s="2"/>
      <c r="N5" s="2"/>
      <c r="P5" s="2"/>
      <c r="Q5" s="2"/>
      <c r="S5" s="2"/>
      <c r="T5" s="5"/>
      <c r="U5" s="2"/>
      <c r="X5" s="2"/>
      <c r="Y5" s="2"/>
    </row>
    <row r="7" spans="1:25" ht="30" customHeight="1">
      <c r="B7" s="6"/>
      <c r="C7" s="7" t="s">
        <v>23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25" ht="26.25" customHeight="1">
      <c r="A8" s="9" t="s">
        <v>26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1"/>
    </row>
    <row r="9" spans="1:25" ht="18" customHeight="1">
      <c r="A9" s="9"/>
      <c r="B9" s="9" t="s">
        <v>27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25" ht="21" customHeight="1">
      <c r="B10" s="9" t="s">
        <v>28</v>
      </c>
      <c r="C10" s="9"/>
      <c r="D10" s="9"/>
      <c r="E10" s="9"/>
      <c r="F10" s="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1"/>
    </row>
    <row r="11" spans="1:25" ht="20.25" customHeight="1">
      <c r="A11" s="13" t="s">
        <v>195</v>
      </c>
      <c r="B11" s="13"/>
      <c r="C11" s="13"/>
      <c r="D11" s="13"/>
      <c r="E11" s="13"/>
      <c r="F11" s="13"/>
      <c r="G11" s="13"/>
      <c r="H11" s="13"/>
      <c r="I11" s="13"/>
      <c r="J11" s="10"/>
      <c r="K11" s="10"/>
      <c r="L11" s="10"/>
      <c r="M11" s="10"/>
      <c r="N11" s="10"/>
      <c r="O11" s="10"/>
      <c r="P11" s="11"/>
      <c r="Q11" s="11"/>
      <c r="R11" s="11"/>
    </row>
    <row r="12" spans="1:25" ht="20.25" customHeight="1">
      <c r="A12" s="10"/>
      <c r="B12" s="10"/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1"/>
    </row>
    <row r="13" spans="1:25" ht="15" customHeight="1">
      <c r="A13" s="15" t="s">
        <v>63</v>
      </c>
      <c r="B13" s="14"/>
      <c r="C13" s="16" t="s">
        <v>64</v>
      </c>
      <c r="D13" s="16"/>
      <c r="E13" s="16"/>
      <c r="F13" s="1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25" ht="12.75" customHeight="1">
      <c r="A14" s="17" t="s">
        <v>25</v>
      </c>
    </row>
    <row r="15" spans="1:25" ht="29.25" customHeight="1">
      <c r="A15" s="18" t="s">
        <v>65</v>
      </c>
    </row>
    <row r="16" spans="1:25" ht="19.5" customHeight="1" thickBot="1">
      <c r="A16" s="18"/>
      <c r="I16" s="19" t="s">
        <v>18</v>
      </c>
    </row>
    <row r="17" spans="1:39" ht="34.5" customHeight="1" thickBot="1">
      <c r="A17" s="20" t="s">
        <v>0</v>
      </c>
      <c r="B17" s="21" t="s">
        <v>1</v>
      </c>
      <c r="C17" s="22" t="s">
        <v>22</v>
      </c>
      <c r="D17" s="23" t="s">
        <v>12</v>
      </c>
      <c r="E17" s="24"/>
      <c r="F17" s="25"/>
      <c r="G17" s="26"/>
      <c r="H17" s="27"/>
      <c r="I17" s="28"/>
      <c r="J17" s="29" t="s">
        <v>17</v>
      </c>
      <c r="K17" s="30"/>
      <c r="L17" s="30"/>
      <c r="M17" s="31"/>
      <c r="N17" s="31"/>
      <c r="O17" s="31"/>
      <c r="P17" s="30"/>
      <c r="Q17" s="30"/>
      <c r="R17" s="30"/>
      <c r="S17" s="30"/>
      <c r="T17" s="30"/>
      <c r="U17" s="32"/>
      <c r="V17" s="23" t="s">
        <v>13</v>
      </c>
      <c r="W17" s="24"/>
      <c r="X17" s="25"/>
      <c r="Y17" s="33" t="s">
        <v>17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4"/>
    </row>
    <row r="18" spans="1:39" ht="73.5" customHeight="1">
      <c r="A18" s="35"/>
      <c r="B18" s="36"/>
      <c r="C18" s="37"/>
      <c r="D18" s="38"/>
      <c r="E18" s="39"/>
      <c r="F18" s="40"/>
      <c r="G18" s="41" t="s">
        <v>20</v>
      </c>
      <c r="H18" s="42"/>
      <c r="I18" s="43"/>
      <c r="J18" s="44" t="s">
        <v>21</v>
      </c>
      <c r="K18" s="45"/>
      <c r="L18" s="46"/>
      <c r="M18" s="47" t="s">
        <v>3</v>
      </c>
      <c r="N18" s="45"/>
      <c r="O18" s="48"/>
      <c r="P18" s="44" t="s">
        <v>4</v>
      </c>
      <c r="Q18" s="45"/>
      <c r="R18" s="46"/>
      <c r="S18" s="44" t="s">
        <v>5</v>
      </c>
      <c r="T18" s="45"/>
      <c r="U18" s="48"/>
      <c r="V18" s="38"/>
      <c r="W18" s="39"/>
      <c r="X18" s="40"/>
      <c r="Y18" s="44" t="s">
        <v>7</v>
      </c>
      <c r="Z18" s="45"/>
      <c r="AA18" s="48"/>
      <c r="AB18" s="44" t="s">
        <v>9</v>
      </c>
      <c r="AC18" s="45"/>
      <c r="AD18" s="48"/>
      <c r="AE18" s="44" t="s">
        <v>8</v>
      </c>
      <c r="AF18" s="45"/>
      <c r="AG18" s="48"/>
      <c r="AH18" s="44" t="s">
        <v>10</v>
      </c>
      <c r="AI18" s="45"/>
      <c r="AJ18" s="48"/>
    </row>
    <row r="19" spans="1:39" ht="53.25" customHeight="1">
      <c r="A19" s="35"/>
      <c r="B19" s="36"/>
      <c r="C19" s="37"/>
      <c r="D19" s="49" t="s">
        <v>29</v>
      </c>
      <c r="E19" s="50" t="s">
        <v>6</v>
      </c>
      <c r="F19" s="51" t="s">
        <v>11</v>
      </c>
      <c r="G19" s="49" t="s">
        <v>29</v>
      </c>
      <c r="H19" s="50" t="s">
        <v>6</v>
      </c>
      <c r="I19" s="51" t="s">
        <v>11</v>
      </c>
      <c r="J19" s="49" t="s">
        <v>29</v>
      </c>
      <c r="K19" s="50" t="s">
        <v>6</v>
      </c>
      <c r="L19" s="52" t="s">
        <v>11</v>
      </c>
      <c r="M19" s="53" t="s">
        <v>29</v>
      </c>
      <c r="N19" s="50" t="s">
        <v>6</v>
      </c>
      <c r="O19" s="51" t="s">
        <v>11</v>
      </c>
      <c r="P19" s="49" t="s">
        <v>29</v>
      </c>
      <c r="Q19" s="50" t="s">
        <v>6</v>
      </c>
      <c r="R19" s="52" t="s">
        <v>11</v>
      </c>
      <c r="S19" s="49" t="s">
        <v>29</v>
      </c>
      <c r="T19" s="50" t="s">
        <v>6</v>
      </c>
      <c r="U19" s="51" t="s">
        <v>11</v>
      </c>
      <c r="V19" s="54" t="s">
        <v>30</v>
      </c>
      <c r="W19" s="55" t="s">
        <v>6</v>
      </c>
      <c r="X19" s="56" t="s">
        <v>11</v>
      </c>
      <c r="Y19" s="54" t="s">
        <v>29</v>
      </c>
      <c r="Z19" s="55" t="s">
        <v>6</v>
      </c>
      <c r="AA19" s="56" t="s">
        <v>11</v>
      </c>
      <c r="AB19" s="54" t="s">
        <v>29</v>
      </c>
      <c r="AC19" s="55" t="s">
        <v>6</v>
      </c>
      <c r="AD19" s="56" t="s">
        <v>11</v>
      </c>
      <c r="AE19" s="54" t="s">
        <v>29</v>
      </c>
      <c r="AF19" s="55" t="s">
        <v>6</v>
      </c>
      <c r="AG19" s="56" t="s">
        <v>11</v>
      </c>
      <c r="AH19" s="54" t="s">
        <v>29</v>
      </c>
      <c r="AI19" s="55" t="s">
        <v>6</v>
      </c>
      <c r="AJ19" s="56" t="s">
        <v>11</v>
      </c>
    </row>
    <row r="20" spans="1:39">
      <c r="A20" s="57">
        <v>1</v>
      </c>
      <c r="B20" s="58">
        <v>2</v>
      </c>
      <c r="C20" s="58">
        <v>3</v>
      </c>
      <c r="D20" s="59">
        <v>4</v>
      </c>
      <c r="E20" s="60">
        <v>5</v>
      </c>
      <c r="F20" s="61">
        <v>6</v>
      </c>
      <c r="G20" s="62">
        <v>7</v>
      </c>
      <c r="H20" s="63">
        <v>8</v>
      </c>
      <c r="I20" s="64">
        <v>9</v>
      </c>
      <c r="J20" s="62">
        <v>10</v>
      </c>
      <c r="K20" s="63">
        <v>11</v>
      </c>
      <c r="L20" s="65">
        <v>12</v>
      </c>
      <c r="M20" s="66">
        <v>13</v>
      </c>
      <c r="N20" s="60">
        <v>14</v>
      </c>
      <c r="O20" s="61">
        <v>15</v>
      </c>
      <c r="P20" s="62">
        <v>16</v>
      </c>
      <c r="Q20" s="63">
        <v>17</v>
      </c>
      <c r="R20" s="65">
        <v>18</v>
      </c>
      <c r="S20" s="59">
        <v>19</v>
      </c>
      <c r="T20" s="67">
        <v>20</v>
      </c>
      <c r="U20" s="61">
        <v>21</v>
      </c>
      <c r="V20" s="62">
        <v>22</v>
      </c>
      <c r="W20" s="63">
        <v>23</v>
      </c>
      <c r="X20" s="64">
        <v>24</v>
      </c>
      <c r="Y20" s="59">
        <v>25</v>
      </c>
      <c r="Z20" s="60">
        <v>26</v>
      </c>
      <c r="AA20" s="61">
        <v>27</v>
      </c>
      <c r="AB20" s="62">
        <v>28</v>
      </c>
      <c r="AC20" s="63">
        <v>29</v>
      </c>
      <c r="AD20" s="64">
        <v>30</v>
      </c>
      <c r="AE20" s="59">
        <v>31</v>
      </c>
      <c r="AF20" s="60">
        <v>32</v>
      </c>
      <c r="AG20" s="61">
        <v>33</v>
      </c>
      <c r="AH20" s="62">
        <v>34</v>
      </c>
      <c r="AI20" s="63">
        <v>35</v>
      </c>
      <c r="AJ20" s="64">
        <v>36</v>
      </c>
    </row>
    <row r="21" spans="1:39" ht="30" customHeight="1">
      <c r="A21" s="68">
        <v>1</v>
      </c>
      <c r="B21" s="69" t="s">
        <v>41</v>
      </c>
      <c r="C21" s="70">
        <v>6714.4</v>
      </c>
      <c r="D21" s="71">
        <f t="shared" ref="D21:D52" si="0">+G21+J21+M21+P21+S21</f>
        <v>14287</v>
      </c>
      <c r="E21" s="72">
        <f t="shared" ref="E21:E52" si="1">+H21+K21+N21+Q21+T21</f>
        <v>14287</v>
      </c>
      <c r="F21" s="73">
        <f t="shared" ref="F21:F59" si="2">D21-E21</f>
        <v>0</v>
      </c>
      <c r="G21" s="74"/>
      <c r="H21" s="72"/>
      <c r="I21" s="73">
        <f t="shared" ref="I21:I59" si="3">G21-H21</f>
        <v>0</v>
      </c>
      <c r="J21" s="75">
        <v>0</v>
      </c>
      <c r="K21" s="74">
        <v>0</v>
      </c>
      <c r="L21" s="76">
        <f t="shared" ref="L21:L59" si="4">J21-K21</f>
        <v>0</v>
      </c>
      <c r="M21" s="74">
        <v>0</v>
      </c>
      <c r="N21" s="77">
        <v>0</v>
      </c>
      <c r="O21" s="73">
        <f t="shared" ref="O21:O59" si="5">M21-N21</f>
        <v>0</v>
      </c>
      <c r="P21" s="78">
        <v>13405</v>
      </c>
      <c r="Q21" s="72">
        <f t="shared" ref="Q21:Q74" si="6">+P21</f>
        <v>13405</v>
      </c>
      <c r="R21" s="76">
        <f t="shared" ref="R21:R59" si="7">P21-Q21</f>
        <v>0</v>
      </c>
      <c r="S21" s="75">
        <f>10+872</f>
        <v>882</v>
      </c>
      <c r="T21" s="74">
        <f>10+872</f>
        <v>882</v>
      </c>
      <c r="U21" s="73">
        <f t="shared" ref="U21:U59" si="8">S21-T21</f>
        <v>0</v>
      </c>
      <c r="V21" s="71">
        <f t="shared" ref="V21:W36" si="9">Y21+AB21+AE21+AH21</f>
        <v>18061.2</v>
      </c>
      <c r="W21" s="72">
        <f t="shared" si="9"/>
        <v>18061.2</v>
      </c>
      <c r="X21" s="73">
        <f t="shared" ref="X21:X59" si="10">V21-W21</f>
        <v>0</v>
      </c>
      <c r="Y21" s="75">
        <v>14134.5</v>
      </c>
      <c r="Z21" s="74">
        <v>14134.5</v>
      </c>
      <c r="AA21" s="73">
        <f t="shared" ref="AA21:AA59" si="11">Y21-Z21</f>
        <v>0</v>
      </c>
      <c r="AB21" s="71">
        <v>3926.7000000000007</v>
      </c>
      <c r="AC21" s="72">
        <v>3926.7000000000007</v>
      </c>
      <c r="AD21" s="73">
        <f t="shared" ref="AD21:AD59" si="12">AB21-AC21</f>
        <v>0</v>
      </c>
      <c r="AE21" s="71"/>
      <c r="AF21" s="72"/>
      <c r="AG21" s="73">
        <f t="shared" ref="AG21:AG59" si="13">AE21-AF21</f>
        <v>0</v>
      </c>
      <c r="AH21" s="75">
        <v>0</v>
      </c>
      <c r="AI21" s="74">
        <v>0</v>
      </c>
      <c r="AJ21" s="73">
        <f t="shared" ref="AJ21:AJ59" si="14">AH21-AI21</f>
        <v>0</v>
      </c>
      <c r="AL21" s="79"/>
      <c r="AM21" s="79"/>
    </row>
    <row r="22" spans="1:39" ht="30" customHeight="1">
      <c r="A22" s="68">
        <v>2</v>
      </c>
      <c r="B22" s="80" t="s">
        <v>42</v>
      </c>
      <c r="C22" s="70">
        <v>16474.599999999999</v>
      </c>
      <c r="D22" s="71">
        <f t="shared" si="0"/>
        <v>19618.199999999997</v>
      </c>
      <c r="E22" s="72">
        <f t="shared" si="1"/>
        <v>19618.199999999997</v>
      </c>
      <c r="F22" s="73">
        <f t="shared" si="2"/>
        <v>0</v>
      </c>
      <c r="G22" s="74"/>
      <c r="H22" s="72"/>
      <c r="I22" s="73">
        <f t="shared" si="3"/>
        <v>0</v>
      </c>
      <c r="J22" s="75">
        <v>78.8</v>
      </c>
      <c r="K22" s="74">
        <v>78.8</v>
      </c>
      <c r="L22" s="76">
        <f t="shared" si="4"/>
        <v>0</v>
      </c>
      <c r="M22" s="74">
        <v>0</v>
      </c>
      <c r="N22" s="77">
        <v>0</v>
      </c>
      <c r="O22" s="73">
        <f t="shared" si="5"/>
        <v>0</v>
      </c>
      <c r="P22" s="78">
        <v>19378.3</v>
      </c>
      <c r="Q22" s="72">
        <f t="shared" si="6"/>
        <v>19378.3</v>
      </c>
      <c r="R22" s="76">
        <f t="shared" si="7"/>
        <v>0</v>
      </c>
      <c r="S22" s="75">
        <f>66+6+89.1</f>
        <v>161.1</v>
      </c>
      <c r="T22" s="74">
        <f>66+6+89.1</f>
        <v>161.1</v>
      </c>
      <c r="U22" s="73">
        <f t="shared" si="8"/>
        <v>0</v>
      </c>
      <c r="V22" s="71">
        <f t="shared" si="9"/>
        <v>25362.3</v>
      </c>
      <c r="W22" s="72">
        <f t="shared" si="9"/>
        <v>25362.3</v>
      </c>
      <c r="X22" s="73">
        <f t="shared" si="10"/>
        <v>0</v>
      </c>
      <c r="Y22" s="75">
        <v>19997.7</v>
      </c>
      <c r="Z22" s="74">
        <v>19997.7</v>
      </c>
      <c r="AA22" s="73">
        <f t="shared" si="11"/>
        <v>0</v>
      </c>
      <c r="AB22" s="71">
        <v>5166.5999999999985</v>
      </c>
      <c r="AC22" s="72">
        <v>5166.5999999999985</v>
      </c>
      <c r="AD22" s="73">
        <f t="shared" si="12"/>
        <v>0</v>
      </c>
      <c r="AE22" s="71"/>
      <c r="AF22" s="72"/>
      <c r="AG22" s="73">
        <f t="shared" si="13"/>
        <v>0</v>
      </c>
      <c r="AH22" s="75">
        <v>198</v>
      </c>
      <c r="AI22" s="74">
        <v>198</v>
      </c>
      <c r="AJ22" s="73">
        <f t="shared" si="14"/>
        <v>0</v>
      </c>
      <c r="AL22" s="79"/>
      <c r="AM22" s="79"/>
    </row>
    <row r="23" spans="1:39" ht="30" customHeight="1">
      <c r="A23" s="68">
        <v>3</v>
      </c>
      <c r="B23" s="80" t="s">
        <v>43</v>
      </c>
      <c r="C23" s="70">
        <v>1710.9</v>
      </c>
      <c r="D23" s="71">
        <f t="shared" si="0"/>
        <v>7731.3</v>
      </c>
      <c r="E23" s="72">
        <f t="shared" si="1"/>
        <v>7731.3</v>
      </c>
      <c r="F23" s="73">
        <f t="shared" si="2"/>
        <v>0</v>
      </c>
      <c r="G23" s="74"/>
      <c r="H23" s="72"/>
      <c r="I23" s="73">
        <f t="shared" si="3"/>
        <v>0</v>
      </c>
      <c r="J23" s="75">
        <v>0</v>
      </c>
      <c r="K23" s="74">
        <v>0</v>
      </c>
      <c r="L23" s="76">
        <f t="shared" si="4"/>
        <v>0</v>
      </c>
      <c r="M23" s="74">
        <v>0</v>
      </c>
      <c r="N23" s="77">
        <v>0</v>
      </c>
      <c r="O23" s="73">
        <f t="shared" si="5"/>
        <v>0</v>
      </c>
      <c r="P23" s="78">
        <v>7707.8</v>
      </c>
      <c r="Q23" s="72">
        <f t="shared" si="6"/>
        <v>7707.8</v>
      </c>
      <c r="R23" s="76">
        <f t="shared" si="7"/>
        <v>0</v>
      </c>
      <c r="S23" s="75">
        <f>12+6+5.5</f>
        <v>23.5</v>
      </c>
      <c r="T23" s="74">
        <f>12+6+5.5</f>
        <v>23.5</v>
      </c>
      <c r="U23" s="73">
        <f t="shared" si="8"/>
        <v>0</v>
      </c>
      <c r="V23" s="71">
        <f t="shared" si="9"/>
        <v>8469.2999999999993</v>
      </c>
      <c r="W23" s="72">
        <f t="shared" si="9"/>
        <v>8469.2999999999993</v>
      </c>
      <c r="X23" s="73">
        <f t="shared" si="10"/>
        <v>0</v>
      </c>
      <c r="Y23" s="75">
        <v>6729.2</v>
      </c>
      <c r="Z23" s="74">
        <v>6729.2</v>
      </c>
      <c r="AA23" s="73">
        <f t="shared" si="11"/>
        <v>0</v>
      </c>
      <c r="AB23" s="71">
        <v>1740.0999999999995</v>
      </c>
      <c r="AC23" s="72">
        <v>1740.0999999999995</v>
      </c>
      <c r="AD23" s="73">
        <f t="shared" si="12"/>
        <v>0</v>
      </c>
      <c r="AE23" s="71"/>
      <c r="AF23" s="72"/>
      <c r="AG23" s="73">
        <f t="shared" si="13"/>
        <v>0</v>
      </c>
      <c r="AH23" s="75">
        <v>0</v>
      </c>
      <c r="AI23" s="74">
        <v>0</v>
      </c>
      <c r="AJ23" s="73">
        <f t="shared" si="14"/>
        <v>0</v>
      </c>
      <c r="AL23" s="79"/>
      <c r="AM23" s="79"/>
    </row>
    <row r="24" spans="1:39" ht="30" customHeight="1">
      <c r="A24" s="68">
        <v>4</v>
      </c>
      <c r="B24" s="80" t="s">
        <v>44</v>
      </c>
      <c r="C24" s="70">
        <v>7661.9</v>
      </c>
      <c r="D24" s="71">
        <f t="shared" si="0"/>
        <v>20554.2</v>
      </c>
      <c r="E24" s="72">
        <f t="shared" si="1"/>
        <v>20554.2</v>
      </c>
      <c r="F24" s="73">
        <f t="shared" si="2"/>
        <v>0</v>
      </c>
      <c r="G24" s="74"/>
      <c r="H24" s="72"/>
      <c r="I24" s="73">
        <f t="shared" si="3"/>
        <v>0</v>
      </c>
      <c r="J24" s="75">
        <v>0</v>
      </c>
      <c r="K24" s="74">
        <v>0</v>
      </c>
      <c r="L24" s="76">
        <f t="shared" si="4"/>
        <v>0</v>
      </c>
      <c r="M24" s="74">
        <v>0</v>
      </c>
      <c r="N24" s="77">
        <v>0</v>
      </c>
      <c r="O24" s="73">
        <f t="shared" si="5"/>
        <v>0</v>
      </c>
      <c r="P24" s="78">
        <v>20544</v>
      </c>
      <c r="Q24" s="72">
        <f t="shared" si="6"/>
        <v>20544</v>
      </c>
      <c r="R24" s="76">
        <f t="shared" si="7"/>
        <v>0</v>
      </c>
      <c r="S24" s="75">
        <f>4.2+6</f>
        <v>10.199999999999999</v>
      </c>
      <c r="T24" s="74">
        <f>4.2+6</f>
        <v>10.199999999999999</v>
      </c>
      <c r="U24" s="73">
        <f t="shared" si="8"/>
        <v>0</v>
      </c>
      <c r="V24" s="71">
        <f t="shared" si="9"/>
        <v>23577.5</v>
      </c>
      <c r="W24" s="72">
        <f t="shared" si="9"/>
        <v>23577.5</v>
      </c>
      <c r="X24" s="73">
        <f t="shared" si="10"/>
        <v>0</v>
      </c>
      <c r="Y24" s="75">
        <v>21527.3</v>
      </c>
      <c r="Z24" s="74">
        <v>21527.3</v>
      </c>
      <c r="AA24" s="73">
        <f t="shared" si="11"/>
        <v>0</v>
      </c>
      <c r="AB24" s="71">
        <v>2050.2000000000007</v>
      </c>
      <c r="AC24" s="72">
        <v>2050.2000000000007</v>
      </c>
      <c r="AD24" s="73">
        <f t="shared" si="12"/>
        <v>0</v>
      </c>
      <c r="AE24" s="71"/>
      <c r="AF24" s="72"/>
      <c r="AG24" s="73">
        <f t="shared" si="13"/>
        <v>0</v>
      </c>
      <c r="AH24" s="75">
        <v>0</v>
      </c>
      <c r="AI24" s="74">
        <v>0</v>
      </c>
      <c r="AJ24" s="73">
        <f t="shared" si="14"/>
        <v>0</v>
      </c>
      <c r="AL24" s="79"/>
      <c r="AM24" s="79"/>
    </row>
    <row r="25" spans="1:39" ht="30" customHeight="1">
      <c r="A25" s="68">
        <v>5</v>
      </c>
      <c r="B25" s="80" t="s">
        <v>110</v>
      </c>
      <c r="C25" s="70">
        <v>3827.2</v>
      </c>
      <c r="D25" s="71">
        <f t="shared" si="0"/>
        <v>8768.2999999999993</v>
      </c>
      <c r="E25" s="72">
        <f t="shared" si="1"/>
        <v>8768.2999999999993</v>
      </c>
      <c r="F25" s="73">
        <f t="shared" si="2"/>
        <v>0</v>
      </c>
      <c r="G25" s="74"/>
      <c r="H25" s="72"/>
      <c r="I25" s="73">
        <f t="shared" si="3"/>
        <v>0</v>
      </c>
      <c r="J25" s="75">
        <v>0</v>
      </c>
      <c r="K25" s="74">
        <v>0</v>
      </c>
      <c r="L25" s="76">
        <f t="shared" si="4"/>
        <v>0</v>
      </c>
      <c r="M25" s="74">
        <v>0</v>
      </c>
      <c r="N25" s="77">
        <v>0</v>
      </c>
      <c r="O25" s="73">
        <f t="shared" si="5"/>
        <v>0</v>
      </c>
      <c r="P25" s="78">
        <v>8627.2999999999993</v>
      </c>
      <c r="Q25" s="72">
        <f t="shared" si="6"/>
        <v>8627.2999999999993</v>
      </c>
      <c r="R25" s="76">
        <f t="shared" si="7"/>
        <v>0</v>
      </c>
      <c r="S25" s="75">
        <f>15+6+120</f>
        <v>141</v>
      </c>
      <c r="T25" s="74">
        <f>15+6+120</f>
        <v>141</v>
      </c>
      <c r="U25" s="73">
        <f t="shared" si="8"/>
        <v>0</v>
      </c>
      <c r="V25" s="71">
        <f t="shared" si="9"/>
        <v>8451.4</v>
      </c>
      <c r="W25" s="72">
        <f t="shared" si="9"/>
        <v>8451.4</v>
      </c>
      <c r="X25" s="73">
        <f t="shared" si="10"/>
        <v>0</v>
      </c>
      <c r="Y25" s="75">
        <v>7245.7</v>
      </c>
      <c r="Z25" s="74">
        <v>7245.7</v>
      </c>
      <c r="AA25" s="73">
        <f t="shared" si="11"/>
        <v>0</v>
      </c>
      <c r="AB25" s="71">
        <v>1205.6999999999998</v>
      </c>
      <c r="AC25" s="72">
        <v>1205.6999999999998</v>
      </c>
      <c r="AD25" s="73">
        <f t="shared" si="12"/>
        <v>0</v>
      </c>
      <c r="AE25" s="71"/>
      <c r="AF25" s="72"/>
      <c r="AG25" s="73">
        <f t="shared" si="13"/>
        <v>0</v>
      </c>
      <c r="AH25" s="75">
        <v>0</v>
      </c>
      <c r="AI25" s="74">
        <v>0</v>
      </c>
      <c r="AJ25" s="73">
        <f t="shared" si="14"/>
        <v>0</v>
      </c>
      <c r="AL25" s="79"/>
      <c r="AM25" s="79"/>
    </row>
    <row r="26" spans="1:39" ht="30" customHeight="1">
      <c r="A26" s="68">
        <v>6</v>
      </c>
      <c r="B26" s="80" t="s">
        <v>45</v>
      </c>
      <c r="C26" s="70">
        <v>23229.9</v>
      </c>
      <c r="D26" s="71">
        <f t="shared" si="0"/>
        <v>20667.3</v>
      </c>
      <c r="E26" s="72">
        <f t="shared" si="1"/>
        <v>20667.3</v>
      </c>
      <c r="F26" s="73">
        <f t="shared" si="2"/>
        <v>0</v>
      </c>
      <c r="G26" s="74"/>
      <c r="H26" s="72"/>
      <c r="I26" s="73">
        <f t="shared" si="3"/>
        <v>0</v>
      </c>
      <c r="J26" s="75">
        <v>0</v>
      </c>
      <c r="K26" s="74">
        <v>0</v>
      </c>
      <c r="L26" s="76">
        <f t="shared" si="4"/>
        <v>0</v>
      </c>
      <c r="M26" s="74">
        <v>0</v>
      </c>
      <c r="N26" s="77">
        <v>0</v>
      </c>
      <c r="O26" s="73">
        <f t="shared" si="5"/>
        <v>0</v>
      </c>
      <c r="P26" s="78">
        <v>20641.3</v>
      </c>
      <c r="Q26" s="72">
        <f t="shared" si="6"/>
        <v>20641.3</v>
      </c>
      <c r="R26" s="76">
        <f t="shared" si="7"/>
        <v>0</v>
      </c>
      <c r="S26" s="75">
        <f>20+6</f>
        <v>26</v>
      </c>
      <c r="T26" s="74">
        <f>20+6</f>
        <v>26</v>
      </c>
      <c r="U26" s="73">
        <f t="shared" si="8"/>
        <v>0</v>
      </c>
      <c r="V26" s="71">
        <f t="shared" si="9"/>
        <v>20142.599999999999</v>
      </c>
      <c r="W26" s="72">
        <f t="shared" si="9"/>
        <v>20142.599999999999</v>
      </c>
      <c r="X26" s="73">
        <f t="shared" si="10"/>
        <v>0</v>
      </c>
      <c r="Y26" s="75">
        <v>17164.599999999999</v>
      </c>
      <c r="Z26" s="74">
        <v>17164.599999999999</v>
      </c>
      <c r="AA26" s="73">
        <f t="shared" si="11"/>
        <v>0</v>
      </c>
      <c r="AB26" s="71">
        <v>2978</v>
      </c>
      <c r="AC26" s="72">
        <v>2978</v>
      </c>
      <c r="AD26" s="73">
        <f t="shared" si="12"/>
        <v>0</v>
      </c>
      <c r="AE26" s="71"/>
      <c r="AF26" s="72"/>
      <c r="AG26" s="73">
        <f t="shared" si="13"/>
        <v>0</v>
      </c>
      <c r="AH26" s="75">
        <v>0</v>
      </c>
      <c r="AI26" s="74">
        <v>0</v>
      </c>
      <c r="AJ26" s="73">
        <f t="shared" si="14"/>
        <v>0</v>
      </c>
      <c r="AL26" s="79"/>
      <c r="AM26" s="79"/>
    </row>
    <row r="27" spans="1:39" ht="30" customHeight="1">
      <c r="A27" s="68">
        <v>7</v>
      </c>
      <c r="B27" s="80" t="s">
        <v>46</v>
      </c>
      <c r="C27" s="70">
        <v>6490.4</v>
      </c>
      <c r="D27" s="71">
        <f t="shared" si="0"/>
        <v>9892.5</v>
      </c>
      <c r="E27" s="72">
        <f t="shared" si="1"/>
        <v>9892.5</v>
      </c>
      <c r="F27" s="73">
        <f t="shared" si="2"/>
        <v>0</v>
      </c>
      <c r="G27" s="74"/>
      <c r="H27" s="72"/>
      <c r="I27" s="73">
        <f t="shared" si="3"/>
        <v>0</v>
      </c>
      <c r="J27" s="75">
        <v>0</v>
      </c>
      <c r="K27" s="74">
        <v>0</v>
      </c>
      <c r="L27" s="76">
        <f t="shared" si="4"/>
        <v>0</v>
      </c>
      <c r="M27" s="74">
        <v>0</v>
      </c>
      <c r="N27" s="77">
        <v>0</v>
      </c>
      <c r="O27" s="73">
        <f t="shared" si="5"/>
        <v>0</v>
      </c>
      <c r="P27" s="78">
        <v>9861.5</v>
      </c>
      <c r="Q27" s="72">
        <f t="shared" si="6"/>
        <v>9861.5</v>
      </c>
      <c r="R27" s="76">
        <f t="shared" si="7"/>
        <v>0</v>
      </c>
      <c r="S27" s="75">
        <f>25+6</f>
        <v>31</v>
      </c>
      <c r="T27" s="74">
        <f>25+6</f>
        <v>31</v>
      </c>
      <c r="U27" s="73">
        <f t="shared" si="8"/>
        <v>0</v>
      </c>
      <c r="V27" s="71">
        <f t="shared" si="9"/>
        <v>12728</v>
      </c>
      <c r="W27" s="72">
        <f t="shared" si="9"/>
        <v>12728</v>
      </c>
      <c r="X27" s="73">
        <f t="shared" si="10"/>
        <v>0</v>
      </c>
      <c r="Y27" s="75">
        <v>9851.7999999999993</v>
      </c>
      <c r="Z27" s="74">
        <v>9851.7999999999993</v>
      </c>
      <c r="AA27" s="73">
        <f t="shared" si="11"/>
        <v>0</v>
      </c>
      <c r="AB27" s="71">
        <v>2876.2000000000007</v>
      </c>
      <c r="AC27" s="72">
        <v>2876.2000000000007</v>
      </c>
      <c r="AD27" s="73">
        <f t="shared" si="12"/>
        <v>0</v>
      </c>
      <c r="AE27" s="71"/>
      <c r="AF27" s="72"/>
      <c r="AG27" s="73">
        <f t="shared" si="13"/>
        <v>0</v>
      </c>
      <c r="AH27" s="75">
        <v>0</v>
      </c>
      <c r="AI27" s="74">
        <v>0</v>
      </c>
      <c r="AJ27" s="73">
        <f t="shared" si="14"/>
        <v>0</v>
      </c>
      <c r="AL27" s="79"/>
      <c r="AM27" s="79"/>
    </row>
    <row r="28" spans="1:39" ht="30" customHeight="1">
      <c r="A28" s="68">
        <v>8</v>
      </c>
      <c r="B28" s="80" t="s">
        <v>111</v>
      </c>
      <c r="C28" s="70">
        <v>11537.7</v>
      </c>
      <c r="D28" s="71">
        <f t="shared" si="0"/>
        <v>32165.1</v>
      </c>
      <c r="E28" s="72">
        <f t="shared" si="1"/>
        <v>32165.1</v>
      </c>
      <c r="F28" s="73">
        <f t="shared" si="2"/>
        <v>0</v>
      </c>
      <c r="G28" s="74"/>
      <c r="H28" s="72"/>
      <c r="I28" s="73">
        <f t="shared" si="3"/>
        <v>0</v>
      </c>
      <c r="J28" s="75">
        <v>92.9</v>
      </c>
      <c r="K28" s="74">
        <v>92.9</v>
      </c>
      <c r="L28" s="76">
        <f t="shared" si="4"/>
        <v>0</v>
      </c>
      <c r="M28" s="74">
        <v>1486.2</v>
      </c>
      <c r="N28" s="77">
        <v>1486.2</v>
      </c>
      <c r="O28" s="73">
        <f t="shared" si="5"/>
        <v>0</v>
      </c>
      <c r="P28" s="78">
        <v>30406.1</v>
      </c>
      <c r="Q28" s="72">
        <f t="shared" si="6"/>
        <v>30406.1</v>
      </c>
      <c r="R28" s="76">
        <f t="shared" si="7"/>
        <v>0</v>
      </c>
      <c r="S28" s="75">
        <f>6+173.9</f>
        <v>179.9</v>
      </c>
      <c r="T28" s="74">
        <f>6+173.9</f>
        <v>179.9</v>
      </c>
      <c r="U28" s="73">
        <f t="shared" si="8"/>
        <v>0</v>
      </c>
      <c r="V28" s="71">
        <f t="shared" si="9"/>
        <v>31227.200000000001</v>
      </c>
      <c r="W28" s="72">
        <f t="shared" si="9"/>
        <v>31227.200000000001</v>
      </c>
      <c r="X28" s="73">
        <f t="shared" si="10"/>
        <v>0</v>
      </c>
      <c r="Y28" s="75">
        <v>22865</v>
      </c>
      <c r="Z28" s="74">
        <v>22865</v>
      </c>
      <c r="AA28" s="73">
        <f t="shared" si="11"/>
        <v>0</v>
      </c>
      <c r="AB28" s="71">
        <v>6902.7000000000007</v>
      </c>
      <c r="AC28" s="72">
        <v>6902.7000000000007</v>
      </c>
      <c r="AD28" s="73">
        <f t="shared" si="12"/>
        <v>0</v>
      </c>
      <c r="AE28" s="71"/>
      <c r="AF28" s="72"/>
      <c r="AG28" s="73">
        <f t="shared" si="13"/>
        <v>0</v>
      </c>
      <c r="AH28" s="75">
        <v>1459.5</v>
      </c>
      <c r="AI28" s="74">
        <v>1459.5</v>
      </c>
      <c r="AJ28" s="73">
        <f t="shared" si="14"/>
        <v>0</v>
      </c>
      <c r="AL28" s="79"/>
      <c r="AM28" s="79"/>
    </row>
    <row r="29" spans="1:39" ht="30" customHeight="1">
      <c r="A29" s="68">
        <v>9</v>
      </c>
      <c r="B29" s="80" t="s">
        <v>112</v>
      </c>
      <c r="C29" s="70">
        <v>3744.9</v>
      </c>
      <c r="D29" s="71">
        <f t="shared" si="0"/>
        <v>16260.300000000001</v>
      </c>
      <c r="E29" s="72">
        <f t="shared" si="1"/>
        <v>16260.300000000001</v>
      </c>
      <c r="F29" s="73">
        <f t="shared" si="2"/>
        <v>0</v>
      </c>
      <c r="G29" s="74"/>
      <c r="H29" s="72"/>
      <c r="I29" s="73">
        <f t="shared" si="3"/>
        <v>0</v>
      </c>
      <c r="J29" s="75">
        <v>0</v>
      </c>
      <c r="K29" s="74">
        <v>0</v>
      </c>
      <c r="L29" s="76">
        <f t="shared" si="4"/>
        <v>0</v>
      </c>
      <c r="M29" s="74">
        <v>0</v>
      </c>
      <c r="N29" s="77">
        <v>0</v>
      </c>
      <c r="O29" s="73">
        <f t="shared" si="5"/>
        <v>0</v>
      </c>
      <c r="P29" s="78">
        <v>15117.7</v>
      </c>
      <c r="Q29" s="72">
        <f t="shared" si="6"/>
        <v>15117.7</v>
      </c>
      <c r="R29" s="76">
        <f t="shared" si="7"/>
        <v>0</v>
      </c>
      <c r="S29" s="75">
        <f>18+1078.1+46.5</f>
        <v>1142.5999999999999</v>
      </c>
      <c r="T29" s="74">
        <f>18+1078.1+46.5</f>
        <v>1142.5999999999999</v>
      </c>
      <c r="U29" s="73">
        <f t="shared" si="8"/>
        <v>0</v>
      </c>
      <c r="V29" s="71">
        <f t="shared" si="9"/>
        <v>16712.099999999999</v>
      </c>
      <c r="W29" s="72">
        <f t="shared" si="9"/>
        <v>16712.099999999999</v>
      </c>
      <c r="X29" s="73">
        <f t="shared" si="10"/>
        <v>0</v>
      </c>
      <c r="Y29" s="75">
        <v>12523.1</v>
      </c>
      <c r="Z29" s="74">
        <v>12523.1</v>
      </c>
      <c r="AA29" s="73">
        <f t="shared" si="11"/>
        <v>0</v>
      </c>
      <c r="AB29" s="71">
        <v>4188.9999999999982</v>
      </c>
      <c r="AC29" s="72">
        <v>4188.9999999999982</v>
      </c>
      <c r="AD29" s="73">
        <f t="shared" si="12"/>
        <v>0</v>
      </c>
      <c r="AE29" s="71"/>
      <c r="AF29" s="72"/>
      <c r="AG29" s="73">
        <f t="shared" si="13"/>
        <v>0</v>
      </c>
      <c r="AH29" s="75">
        <v>0</v>
      </c>
      <c r="AI29" s="74">
        <v>0</v>
      </c>
      <c r="AJ29" s="73">
        <f t="shared" si="14"/>
        <v>0</v>
      </c>
      <c r="AL29" s="79"/>
      <c r="AM29" s="79"/>
    </row>
    <row r="30" spans="1:39" ht="30" customHeight="1">
      <c r="A30" s="68">
        <v>10</v>
      </c>
      <c r="B30" s="80" t="s">
        <v>113</v>
      </c>
      <c r="C30" s="70">
        <v>2197.4</v>
      </c>
      <c r="D30" s="71">
        <f t="shared" si="0"/>
        <v>10560.699999999999</v>
      </c>
      <c r="E30" s="72">
        <f t="shared" si="1"/>
        <v>10560.699999999999</v>
      </c>
      <c r="F30" s="73">
        <f t="shared" si="2"/>
        <v>0</v>
      </c>
      <c r="G30" s="74"/>
      <c r="H30" s="72"/>
      <c r="I30" s="73">
        <f t="shared" si="3"/>
        <v>0</v>
      </c>
      <c r="J30" s="75">
        <v>0</v>
      </c>
      <c r="K30" s="74">
        <v>0</v>
      </c>
      <c r="L30" s="76">
        <f t="shared" si="4"/>
        <v>0</v>
      </c>
      <c r="M30" s="74">
        <v>0</v>
      </c>
      <c r="N30" s="77">
        <v>0</v>
      </c>
      <c r="O30" s="73">
        <f t="shared" si="5"/>
        <v>0</v>
      </c>
      <c r="P30" s="78">
        <v>10529.9</v>
      </c>
      <c r="Q30" s="72">
        <f t="shared" si="6"/>
        <v>10529.9</v>
      </c>
      <c r="R30" s="76">
        <f t="shared" si="7"/>
        <v>0</v>
      </c>
      <c r="S30" s="75">
        <f>25.8+5</f>
        <v>30.8</v>
      </c>
      <c r="T30" s="74">
        <f>25.8+5</f>
        <v>30.8</v>
      </c>
      <c r="U30" s="73">
        <f t="shared" si="8"/>
        <v>0</v>
      </c>
      <c r="V30" s="71">
        <f t="shared" si="9"/>
        <v>11777.6</v>
      </c>
      <c r="W30" s="72">
        <f t="shared" si="9"/>
        <v>11777.6</v>
      </c>
      <c r="X30" s="73">
        <f t="shared" si="10"/>
        <v>0</v>
      </c>
      <c r="Y30" s="75">
        <v>10255.1</v>
      </c>
      <c r="Z30" s="74">
        <v>10255.1</v>
      </c>
      <c r="AA30" s="73">
        <f t="shared" si="11"/>
        <v>0</v>
      </c>
      <c r="AB30" s="71">
        <v>1522.5</v>
      </c>
      <c r="AC30" s="72">
        <v>1522.5</v>
      </c>
      <c r="AD30" s="73">
        <f t="shared" si="12"/>
        <v>0</v>
      </c>
      <c r="AE30" s="71"/>
      <c r="AF30" s="72"/>
      <c r="AG30" s="73">
        <f t="shared" si="13"/>
        <v>0</v>
      </c>
      <c r="AH30" s="75">
        <v>0</v>
      </c>
      <c r="AI30" s="74">
        <v>0</v>
      </c>
      <c r="AJ30" s="73">
        <f t="shared" si="14"/>
        <v>0</v>
      </c>
      <c r="AL30" s="79"/>
      <c r="AM30" s="79"/>
    </row>
    <row r="31" spans="1:39" ht="30" customHeight="1">
      <c r="A31" s="68">
        <v>11</v>
      </c>
      <c r="B31" s="80" t="s">
        <v>114</v>
      </c>
      <c r="C31" s="70">
        <v>19614.599999999999</v>
      </c>
      <c r="D31" s="71">
        <f t="shared" si="0"/>
        <v>21209.200000000001</v>
      </c>
      <c r="E31" s="72">
        <f t="shared" si="1"/>
        <v>21209.200000000001</v>
      </c>
      <c r="F31" s="73">
        <f t="shared" si="2"/>
        <v>0</v>
      </c>
      <c r="G31" s="74"/>
      <c r="H31" s="72"/>
      <c r="I31" s="73">
        <f t="shared" si="3"/>
        <v>0</v>
      </c>
      <c r="J31" s="75">
        <v>0</v>
      </c>
      <c r="K31" s="74">
        <v>0</v>
      </c>
      <c r="L31" s="76">
        <f t="shared" si="4"/>
        <v>0</v>
      </c>
      <c r="M31" s="74">
        <v>0</v>
      </c>
      <c r="N31" s="77">
        <v>0</v>
      </c>
      <c r="O31" s="73">
        <f t="shared" si="5"/>
        <v>0</v>
      </c>
      <c r="P31" s="78">
        <v>21142.7</v>
      </c>
      <c r="Q31" s="72">
        <f t="shared" si="6"/>
        <v>21142.7</v>
      </c>
      <c r="R31" s="76">
        <f t="shared" si="7"/>
        <v>0</v>
      </c>
      <c r="S31" s="75">
        <f>30+36.5</f>
        <v>66.5</v>
      </c>
      <c r="T31" s="74">
        <f>30+36.5</f>
        <v>66.5</v>
      </c>
      <c r="U31" s="73">
        <f t="shared" si="8"/>
        <v>0</v>
      </c>
      <c r="V31" s="71">
        <f t="shared" si="9"/>
        <v>24292.3</v>
      </c>
      <c r="W31" s="72">
        <f t="shared" si="9"/>
        <v>24292.3</v>
      </c>
      <c r="X31" s="73">
        <f t="shared" si="10"/>
        <v>0</v>
      </c>
      <c r="Y31" s="75">
        <v>21919.4</v>
      </c>
      <c r="Z31" s="74">
        <v>21919.4</v>
      </c>
      <c r="AA31" s="73">
        <f t="shared" si="11"/>
        <v>0</v>
      </c>
      <c r="AB31" s="71">
        <v>2367.8999999999978</v>
      </c>
      <c r="AC31" s="72">
        <v>2367.8999999999978</v>
      </c>
      <c r="AD31" s="73">
        <f t="shared" si="12"/>
        <v>0</v>
      </c>
      <c r="AE31" s="71"/>
      <c r="AF31" s="72"/>
      <c r="AG31" s="73">
        <f t="shared" si="13"/>
        <v>0</v>
      </c>
      <c r="AH31" s="75">
        <v>5</v>
      </c>
      <c r="AI31" s="74">
        <v>5</v>
      </c>
      <c r="AJ31" s="73">
        <f t="shared" si="14"/>
        <v>0</v>
      </c>
      <c r="AL31" s="79"/>
      <c r="AM31" s="79"/>
    </row>
    <row r="32" spans="1:39" ht="30" customHeight="1">
      <c r="A32" s="68">
        <v>12</v>
      </c>
      <c r="B32" s="80" t="s">
        <v>115</v>
      </c>
      <c r="C32" s="70">
        <v>11133</v>
      </c>
      <c r="D32" s="71">
        <f t="shared" si="0"/>
        <v>38890.5</v>
      </c>
      <c r="E32" s="72">
        <f t="shared" si="1"/>
        <v>38890.5</v>
      </c>
      <c r="F32" s="73">
        <f t="shared" si="2"/>
        <v>0</v>
      </c>
      <c r="G32" s="74"/>
      <c r="H32" s="72"/>
      <c r="I32" s="73">
        <f t="shared" si="3"/>
        <v>0</v>
      </c>
      <c r="J32" s="75">
        <v>0</v>
      </c>
      <c r="K32" s="74">
        <v>0</v>
      </c>
      <c r="L32" s="76">
        <f t="shared" si="4"/>
        <v>0</v>
      </c>
      <c r="M32" s="74">
        <v>0</v>
      </c>
      <c r="N32" s="77">
        <v>0</v>
      </c>
      <c r="O32" s="73">
        <f t="shared" si="5"/>
        <v>0</v>
      </c>
      <c r="P32" s="78">
        <v>38779</v>
      </c>
      <c r="Q32" s="72">
        <f t="shared" si="6"/>
        <v>38779</v>
      </c>
      <c r="R32" s="76">
        <f t="shared" si="7"/>
        <v>0</v>
      </c>
      <c r="S32" s="75">
        <f>68+6+37.5</f>
        <v>111.5</v>
      </c>
      <c r="T32" s="74">
        <f>68+6+37.5</f>
        <v>111.5</v>
      </c>
      <c r="U32" s="73">
        <f t="shared" si="8"/>
        <v>0</v>
      </c>
      <c r="V32" s="71">
        <f t="shared" si="9"/>
        <v>40892.6</v>
      </c>
      <c r="W32" s="72">
        <f t="shared" si="9"/>
        <v>40892.6</v>
      </c>
      <c r="X32" s="73">
        <f t="shared" si="10"/>
        <v>0</v>
      </c>
      <c r="Y32" s="75">
        <v>37089.699999999997</v>
      </c>
      <c r="Z32" s="74">
        <v>37089.699999999997</v>
      </c>
      <c r="AA32" s="73">
        <f t="shared" si="11"/>
        <v>0</v>
      </c>
      <c r="AB32" s="71">
        <v>3802.9000000000015</v>
      </c>
      <c r="AC32" s="72">
        <v>3802.9000000000015</v>
      </c>
      <c r="AD32" s="73">
        <f t="shared" si="12"/>
        <v>0</v>
      </c>
      <c r="AE32" s="71"/>
      <c r="AF32" s="72"/>
      <c r="AG32" s="73">
        <f t="shared" si="13"/>
        <v>0</v>
      </c>
      <c r="AH32" s="75">
        <v>0</v>
      </c>
      <c r="AI32" s="74">
        <v>0</v>
      </c>
      <c r="AJ32" s="73">
        <f t="shared" si="14"/>
        <v>0</v>
      </c>
      <c r="AL32" s="79"/>
      <c r="AM32" s="79"/>
    </row>
    <row r="33" spans="1:39" ht="30" customHeight="1">
      <c r="A33" s="68">
        <v>13</v>
      </c>
      <c r="B33" s="80" t="s">
        <v>47</v>
      </c>
      <c r="C33" s="70">
        <v>2791.9</v>
      </c>
      <c r="D33" s="71">
        <f t="shared" si="0"/>
        <v>8647.1999999999989</v>
      </c>
      <c r="E33" s="72">
        <f t="shared" si="1"/>
        <v>8647.1999999999989</v>
      </c>
      <c r="F33" s="73">
        <f t="shared" si="2"/>
        <v>0</v>
      </c>
      <c r="G33" s="74"/>
      <c r="H33" s="72"/>
      <c r="I33" s="73">
        <f t="shared" si="3"/>
        <v>0</v>
      </c>
      <c r="J33" s="75">
        <v>0</v>
      </c>
      <c r="K33" s="74">
        <v>0</v>
      </c>
      <c r="L33" s="76">
        <f t="shared" si="4"/>
        <v>0</v>
      </c>
      <c r="M33" s="74">
        <v>0</v>
      </c>
      <c r="N33" s="77">
        <v>0</v>
      </c>
      <c r="O33" s="73">
        <f t="shared" si="5"/>
        <v>0</v>
      </c>
      <c r="P33" s="78">
        <v>7786.4</v>
      </c>
      <c r="Q33" s="72">
        <f t="shared" si="6"/>
        <v>7786.4</v>
      </c>
      <c r="R33" s="76">
        <f t="shared" si="7"/>
        <v>0</v>
      </c>
      <c r="S33" s="75">
        <f>15+770.1+75.7</f>
        <v>860.80000000000007</v>
      </c>
      <c r="T33" s="74">
        <f>15+770.1+75.7</f>
        <v>860.80000000000007</v>
      </c>
      <c r="U33" s="73">
        <f t="shared" si="8"/>
        <v>0</v>
      </c>
      <c r="V33" s="71">
        <f t="shared" si="9"/>
        <v>9062</v>
      </c>
      <c r="W33" s="72">
        <f t="shared" si="9"/>
        <v>9062</v>
      </c>
      <c r="X33" s="73">
        <f t="shared" si="10"/>
        <v>0</v>
      </c>
      <c r="Y33" s="75">
        <v>5925.2</v>
      </c>
      <c r="Z33" s="74">
        <v>5925.2</v>
      </c>
      <c r="AA33" s="73">
        <f t="shared" si="11"/>
        <v>0</v>
      </c>
      <c r="AB33" s="71">
        <v>3136.8</v>
      </c>
      <c r="AC33" s="72">
        <v>3136.8</v>
      </c>
      <c r="AD33" s="73">
        <f t="shared" si="12"/>
        <v>0</v>
      </c>
      <c r="AE33" s="71"/>
      <c r="AF33" s="72"/>
      <c r="AG33" s="73">
        <f t="shared" si="13"/>
        <v>0</v>
      </c>
      <c r="AH33" s="75">
        <v>0</v>
      </c>
      <c r="AI33" s="74">
        <v>0</v>
      </c>
      <c r="AJ33" s="73">
        <f t="shared" si="14"/>
        <v>0</v>
      </c>
      <c r="AL33" s="79"/>
      <c r="AM33" s="79"/>
    </row>
    <row r="34" spans="1:39" ht="30" customHeight="1">
      <c r="A34" s="68">
        <v>14</v>
      </c>
      <c r="B34" s="80" t="s">
        <v>116</v>
      </c>
      <c r="C34" s="70">
        <v>10203.4</v>
      </c>
      <c r="D34" s="71">
        <f t="shared" si="0"/>
        <v>38942.9</v>
      </c>
      <c r="E34" s="72">
        <f t="shared" si="1"/>
        <v>38942.9</v>
      </c>
      <c r="F34" s="73">
        <f t="shared" si="2"/>
        <v>0</v>
      </c>
      <c r="G34" s="74"/>
      <c r="H34" s="72"/>
      <c r="I34" s="73">
        <f t="shared" si="3"/>
        <v>0</v>
      </c>
      <c r="J34" s="75">
        <v>0</v>
      </c>
      <c r="K34" s="74">
        <v>0</v>
      </c>
      <c r="L34" s="76">
        <f t="shared" si="4"/>
        <v>0</v>
      </c>
      <c r="M34" s="74">
        <v>0</v>
      </c>
      <c r="N34" s="77">
        <v>0</v>
      </c>
      <c r="O34" s="73">
        <f t="shared" si="5"/>
        <v>0</v>
      </c>
      <c r="P34" s="78">
        <v>38832.300000000003</v>
      </c>
      <c r="Q34" s="72">
        <f t="shared" si="6"/>
        <v>38832.300000000003</v>
      </c>
      <c r="R34" s="76">
        <f t="shared" si="7"/>
        <v>0</v>
      </c>
      <c r="S34" s="75">
        <f>70+6+34.6</f>
        <v>110.6</v>
      </c>
      <c r="T34" s="74">
        <f>70+6+34.6</f>
        <v>110.6</v>
      </c>
      <c r="U34" s="73">
        <f t="shared" si="8"/>
        <v>0</v>
      </c>
      <c r="V34" s="71">
        <f t="shared" si="9"/>
        <v>46700.6</v>
      </c>
      <c r="W34" s="72">
        <f t="shared" si="9"/>
        <v>46700.6</v>
      </c>
      <c r="X34" s="73">
        <f t="shared" si="10"/>
        <v>0</v>
      </c>
      <c r="Y34" s="75">
        <v>41465.800000000003</v>
      </c>
      <c r="Z34" s="74">
        <v>41465.800000000003</v>
      </c>
      <c r="AA34" s="73">
        <f t="shared" si="11"/>
        <v>0</v>
      </c>
      <c r="AB34" s="71">
        <v>5218.4999999999927</v>
      </c>
      <c r="AC34" s="72">
        <v>5218.4999999999927</v>
      </c>
      <c r="AD34" s="73">
        <f t="shared" si="12"/>
        <v>0</v>
      </c>
      <c r="AE34" s="71"/>
      <c r="AF34" s="72"/>
      <c r="AG34" s="73">
        <f t="shared" si="13"/>
        <v>0</v>
      </c>
      <c r="AH34" s="75">
        <v>16.3</v>
      </c>
      <c r="AI34" s="74">
        <v>16.3</v>
      </c>
      <c r="AJ34" s="73">
        <f t="shared" si="14"/>
        <v>0</v>
      </c>
      <c r="AL34" s="79"/>
      <c r="AM34" s="79"/>
    </row>
    <row r="35" spans="1:39" ht="30" customHeight="1">
      <c r="A35" s="68">
        <v>15</v>
      </c>
      <c r="B35" s="80" t="s">
        <v>117</v>
      </c>
      <c r="C35" s="70">
        <v>4164.8</v>
      </c>
      <c r="D35" s="71">
        <f t="shared" si="0"/>
        <v>12667.6</v>
      </c>
      <c r="E35" s="72">
        <f t="shared" si="1"/>
        <v>12667.6</v>
      </c>
      <c r="F35" s="73">
        <f t="shared" si="2"/>
        <v>0</v>
      </c>
      <c r="G35" s="74"/>
      <c r="H35" s="72"/>
      <c r="I35" s="73">
        <f t="shared" si="3"/>
        <v>0</v>
      </c>
      <c r="J35" s="75">
        <v>0</v>
      </c>
      <c r="K35" s="74">
        <v>0</v>
      </c>
      <c r="L35" s="76">
        <f t="shared" si="4"/>
        <v>0</v>
      </c>
      <c r="M35" s="74">
        <v>0</v>
      </c>
      <c r="N35" s="77">
        <v>0</v>
      </c>
      <c r="O35" s="73">
        <f t="shared" si="5"/>
        <v>0</v>
      </c>
      <c r="P35" s="78">
        <v>12448.6</v>
      </c>
      <c r="Q35" s="72">
        <f t="shared" si="6"/>
        <v>12448.6</v>
      </c>
      <c r="R35" s="76">
        <f t="shared" si="7"/>
        <v>0</v>
      </c>
      <c r="S35" s="75">
        <f>27+192</f>
        <v>219</v>
      </c>
      <c r="T35" s="74">
        <f>27+192</f>
        <v>219</v>
      </c>
      <c r="U35" s="73">
        <f t="shared" si="8"/>
        <v>0</v>
      </c>
      <c r="V35" s="71">
        <f t="shared" si="9"/>
        <v>15119.7</v>
      </c>
      <c r="W35" s="72">
        <f t="shared" si="9"/>
        <v>15119.7</v>
      </c>
      <c r="X35" s="73">
        <f t="shared" si="10"/>
        <v>0</v>
      </c>
      <c r="Y35" s="75">
        <v>12458.3</v>
      </c>
      <c r="Z35" s="74">
        <v>12458.3</v>
      </c>
      <c r="AA35" s="73">
        <f t="shared" si="11"/>
        <v>0</v>
      </c>
      <c r="AB35" s="71">
        <v>2648.5000000000018</v>
      </c>
      <c r="AC35" s="72">
        <v>2648.5000000000018</v>
      </c>
      <c r="AD35" s="73">
        <f t="shared" si="12"/>
        <v>0</v>
      </c>
      <c r="AE35" s="71"/>
      <c r="AF35" s="72"/>
      <c r="AG35" s="73">
        <f t="shared" si="13"/>
        <v>0</v>
      </c>
      <c r="AH35" s="75">
        <v>12.9</v>
      </c>
      <c r="AI35" s="74">
        <v>12.9</v>
      </c>
      <c r="AJ35" s="73">
        <f t="shared" si="14"/>
        <v>0</v>
      </c>
      <c r="AL35" s="79"/>
      <c r="AM35" s="79"/>
    </row>
    <row r="36" spans="1:39" ht="30" customHeight="1">
      <c r="A36" s="68">
        <v>16</v>
      </c>
      <c r="B36" s="81" t="s">
        <v>118</v>
      </c>
      <c r="C36" s="70">
        <v>6161</v>
      </c>
      <c r="D36" s="71">
        <f t="shared" si="0"/>
        <v>21939.4</v>
      </c>
      <c r="E36" s="72">
        <f t="shared" si="1"/>
        <v>21939.4</v>
      </c>
      <c r="F36" s="73">
        <f t="shared" si="2"/>
        <v>0</v>
      </c>
      <c r="G36" s="74"/>
      <c r="H36" s="72"/>
      <c r="I36" s="73">
        <f t="shared" si="3"/>
        <v>0</v>
      </c>
      <c r="J36" s="75">
        <v>0</v>
      </c>
      <c r="K36" s="74">
        <v>0</v>
      </c>
      <c r="L36" s="76">
        <f t="shared" si="4"/>
        <v>0</v>
      </c>
      <c r="M36" s="74">
        <v>0</v>
      </c>
      <c r="N36" s="77">
        <v>0</v>
      </c>
      <c r="O36" s="73">
        <f t="shared" si="5"/>
        <v>0</v>
      </c>
      <c r="P36" s="78">
        <v>21680.7</v>
      </c>
      <c r="Q36" s="72">
        <f t="shared" si="6"/>
        <v>21680.7</v>
      </c>
      <c r="R36" s="76">
        <f t="shared" si="7"/>
        <v>0</v>
      </c>
      <c r="S36" s="75">
        <f>233.7+25</f>
        <v>258.7</v>
      </c>
      <c r="T36" s="74">
        <f>233.7+25</f>
        <v>258.7</v>
      </c>
      <c r="U36" s="73">
        <f t="shared" si="8"/>
        <v>0</v>
      </c>
      <c r="V36" s="71">
        <f t="shared" si="9"/>
        <v>27033.200000000001</v>
      </c>
      <c r="W36" s="72">
        <f t="shared" si="9"/>
        <v>27033.200000000001</v>
      </c>
      <c r="X36" s="73">
        <f t="shared" si="10"/>
        <v>0</v>
      </c>
      <c r="Y36" s="75">
        <v>25516.2</v>
      </c>
      <c r="Z36" s="74">
        <v>25516.2</v>
      </c>
      <c r="AA36" s="73">
        <f t="shared" si="11"/>
        <v>0</v>
      </c>
      <c r="AB36" s="71">
        <v>1504.7000000000007</v>
      </c>
      <c r="AC36" s="72">
        <v>1504.7000000000007</v>
      </c>
      <c r="AD36" s="73">
        <f t="shared" si="12"/>
        <v>0</v>
      </c>
      <c r="AE36" s="71"/>
      <c r="AF36" s="72"/>
      <c r="AG36" s="73">
        <f t="shared" si="13"/>
        <v>0</v>
      </c>
      <c r="AH36" s="75">
        <v>12.3</v>
      </c>
      <c r="AI36" s="74">
        <v>12.3</v>
      </c>
      <c r="AJ36" s="73">
        <f t="shared" si="14"/>
        <v>0</v>
      </c>
      <c r="AL36" s="79"/>
      <c r="AM36" s="79"/>
    </row>
    <row r="37" spans="1:39" ht="24.75" customHeight="1">
      <c r="A37" s="68">
        <v>17</v>
      </c>
      <c r="B37" s="69" t="s">
        <v>184</v>
      </c>
      <c r="C37" s="70">
        <v>4506.1000000000004</v>
      </c>
      <c r="D37" s="71">
        <f t="shared" si="0"/>
        <v>20732.399999999998</v>
      </c>
      <c r="E37" s="72">
        <f t="shared" si="1"/>
        <v>20732.399999999998</v>
      </c>
      <c r="F37" s="73">
        <f t="shared" si="2"/>
        <v>0</v>
      </c>
      <c r="G37" s="74"/>
      <c r="H37" s="72"/>
      <c r="I37" s="73">
        <f t="shared" si="3"/>
        <v>0</v>
      </c>
      <c r="J37" s="75">
        <v>0</v>
      </c>
      <c r="K37" s="74">
        <v>0</v>
      </c>
      <c r="L37" s="76">
        <f t="shared" si="4"/>
        <v>0</v>
      </c>
      <c r="M37" s="74">
        <v>0</v>
      </c>
      <c r="N37" s="77">
        <v>0</v>
      </c>
      <c r="O37" s="73">
        <f t="shared" si="5"/>
        <v>0</v>
      </c>
      <c r="P37" s="78">
        <v>20671.099999999999</v>
      </c>
      <c r="Q37" s="72">
        <f t="shared" si="6"/>
        <v>20671.099999999999</v>
      </c>
      <c r="R37" s="76">
        <f t="shared" si="7"/>
        <v>0</v>
      </c>
      <c r="S37" s="75">
        <f>49.2+12.1</f>
        <v>61.300000000000004</v>
      </c>
      <c r="T37" s="74">
        <f>49.2+12.1</f>
        <v>61.300000000000004</v>
      </c>
      <c r="U37" s="73">
        <f t="shared" si="8"/>
        <v>0</v>
      </c>
      <c r="V37" s="71">
        <f t="shared" ref="V37:W52" si="15">Y37+AB37+AE37+AH37</f>
        <v>18866.3</v>
      </c>
      <c r="W37" s="72">
        <f t="shared" si="15"/>
        <v>18866.3</v>
      </c>
      <c r="X37" s="73">
        <f t="shared" si="10"/>
        <v>0</v>
      </c>
      <c r="Y37" s="75">
        <v>15930.2</v>
      </c>
      <c r="Z37" s="74">
        <v>15930.2</v>
      </c>
      <c r="AA37" s="73">
        <f t="shared" si="11"/>
        <v>0</v>
      </c>
      <c r="AB37" s="71">
        <v>2865.7999999999993</v>
      </c>
      <c r="AC37" s="72">
        <v>2865.7999999999993</v>
      </c>
      <c r="AD37" s="73">
        <f t="shared" si="12"/>
        <v>0</v>
      </c>
      <c r="AE37" s="71"/>
      <c r="AF37" s="72"/>
      <c r="AG37" s="73">
        <f t="shared" si="13"/>
        <v>0</v>
      </c>
      <c r="AH37" s="75">
        <v>70.3</v>
      </c>
      <c r="AI37" s="74">
        <v>70.3</v>
      </c>
      <c r="AJ37" s="73">
        <f t="shared" si="14"/>
        <v>0</v>
      </c>
      <c r="AL37" s="79"/>
      <c r="AM37" s="79"/>
    </row>
    <row r="38" spans="1:39" ht="24.75" customHeight="1">
      <c r="A38" s="68">
        <v>18</v>
      </c>
      <c r="B38" s="80" t="s">
        <v>185</v>
      </c>
      <c r="C38" s="70">
        <v>14697.6</v>
      </c>
      <c r="D38" s="71">
        <f t="shared" si="0"/>
        <v>13557.9</v>
      </c>
      <c r="E38" s="72">
        <f t="shared" si="1"/>
        <v>13557.9</v>
      </c>
      <c r="F38" s="73">
        <f t="shared" si="2"/>
        <v>0</v>
      </c>
      <c r="G38" s="74"/>
      <c r="H38" s="72"/>
      <c r="I38" s="73">
        <f t="shared" si="3"/>
        <v>0</v>
      </c>
      <c r="J38" s="75">
        <v>0</v>
      </c>
      <c r="K38" s="74">
        <v>0</v>
      </c>
      <c r="L38" s="76">
        <f t="shared" si="4"/>
        <v>0</v>
      </c>
      <c r="M38" s="74">
        <v>0</v>
      </c>
      <c r="N38" s="77">
        <v>0</v>
      </c>
      <c r="O38" s="73">
        <f t="shared" si="5"/>
        <v>0</v>
      </c>
      <c r="P38" s="78">
        <v>13016.8</v>
      </c>
      <c r="Q38" s="72">
        <f t="shared" si="6"/>
        <v>13016.8</v>
      </c>
      <c r="R38" s="76">
        <f t="shared" si="7"/>
        <v>0</v>
      </c>
      <c r="S38" s="75">
        <f>258.2+230.9+14.3+37.7</f>
        <v>541.1</v>
      </c>
      <c r="T38" s="74">
        <f>258.2+230.9+14.3+37.7</f>
        <v>541.1</v>
      </c>
      <c r="U38" s="73">
        <f t="shared" si="8"/>
        <v>0</v>
      </c>
      <c r="V38" s="71">
        <f t="shared" si="15"/>
        <v>16682.8</v>
      </c>
      <c r="W38" s="72">
        <f t="shared" si="15"/>
        <v>16682.8</v>
      </c>
      <c r="X38" s="73">
        <f t="shared" si="10"/>
        <v>0</v>
      </c>
      <c r="Y38" s="75">
        <v>14059.2</v>
      </c>
      <c r="Z38" s="74">
        <v>14059.2</v>
      </c>
      <c r="AA38" s="73">
        <f t="shared" si="11"/>
        <v>0</v>
      </c>
      <c r="AB38" s="71">
        <v>2488.5999999999985</v>
      </c>
      <c r="AC38" s="72">
        <v>2488.5999999999985</v>
      </c>
      <c r="AD38" s="73">
        <f t="shared" si="12"/>
        <v>0</v>
      </c>
      <c r="AE38" s="71"/>
      <c r="AF38" s="72"/>
      <c r="AG38" s="73">
        <f t="shared" si="13"/>
        <v>0</v>
      </c>
      <c r="AH38" s="75">
        <v>135</v>
      </c>
      <c r="AI38" s="74">
        <v>135</v>
      </c>
      <c r="AJ38" s="73">
        <f t="shared" si="14"/>
        <v>0</v>
      </c>
      <c r="AL38" s="79"/>
      <c r="AM38" s="79"/>
    </row>
    <row r="39" spans="1:39" ht="24.75" customHeight="1">
      <c r="A39" s="68">
        <v>19</v>
      </c>
      <c r="B39" s="80" t="s">
        <v>186</v>
      </c>
      <c r="C39" s="70">
        <v>4827.8999999999996</v>
      </c>
      <c r="D39" s="71">
        <f t="shared" si="0"/>
        <v>10194.700000000001</v>
      </c>
      <c r="E39" s="72">
        <f t="shared" si="1"/>
        <v>10194.700000000001</v>
      </c>
      <c r="F39" s="73">
        <f t="shared" si="2"/>
        <v>0</v>
      </c>
      <c r="G39" s="74"/>
      <c r="H39" s="72"/>
      <c r="I39" s="73">
        <f t="shared" si="3"/>
        <v>0</v>
      </c>
      <c r="J39" s="75">
        <v>151.19999999999999</v>
      </c>
      <c r="K39" s="74">
        <v>151.19999999999999</v>
      </c>
      <c r="L39" s="76">
        <f t="shared" si="4"/>
        <v>0</v>
      </c>
      <c r="M39" s="74">
        <v>0</v>
      </c>
      <c r="N39" s="77">
        <v>0</v>
      </c>
      <c r="O39" s="73">
        <f t="shared" si="5"/>
        <v>0</v>
      </c>
      <c r="P39" s="78">
        <v>10020.1</v>
      </c>
      <c r="Q39" s="72">
        <f t="shared" si="6"/>
        <v>10020.1</v>
      </c>
      <c r="R39" s="76">
        <f t="shared" si="7"/>
        <v>0</v>
      </c>
      <c r="S39" s="75">
        <f>3+1.7+12.9+5.8</f>
        <v>23.400000000000002</v>
      </c>
      <c r="T39" s="74">
        <f>3+1.7+12.9+5.8</f>
        <v>23.400000000000002</v>
      </c>
      <c r="U39" s="73">
        <f t="shared" si="8"/>
        <v>0</v>
      </c>
      <c r="V39" s="71">
        <f t="shared" si="15"/>
        <v>12728</v>
      </c>
      <c r="W39" s="72">
        <f t="shared" si="15"/>
        <v>12728</v>
      </c>
      <c r="X39" s="73">
        <f t="shared" si="10"/>
        <v>0</v>
      </c>
      <c r="Y39" s="75">
        <v>11226.7</v>
      </c>
      <c r="Z39" s="74">
        <v>11226.7</v>
      </c>
      <c r="AA39" s="73">
        <f t="shared" si="11"/>
        <v>0</v>
      </c>
      <c r="AB39" s="71">
        <v>1501.2999999999993</v>
      </c>
      <c r="AC39" s="72">
        <v>1501.2999999999993</v>
      </c>
      <c r="AD39" s="73">
        <f t="shared" si="12"/>
        <v>0</v>
      </c>
      <c r="AE39" s="71"/>
      <c r="AF39" s="72"/>
      <c r="AG39" s="73">
        <f t="shared" si="13"/>
        <v>0</v>
      </c>
      <c r="AH39" s="75">
        <v>0</v>
      </c>
      <c r="AI39" s="74">
        <v>0</v>
      </c>
      <c r="AJ39" s="73">
        <f t="shared" si="14"/>
        <v>0</v>
      </c>
      <c r="AL39" s="79"/>
      <c r="AM39" s="79"/>
    </row>
    <row r="40" spans="1:39" ht="24.75" customHeight="1">
      <c r="A40" s="68">
        <v>20</v>
      </c>
      <c r="B40" s="80" t="s">
        <v>187</v>
      </c>
      <c r="C40" s="70">
        <v>9173</v>
      </c>
      <c r="D40" s="71">
        <f t="shared" si="0"/>
        <v>33279.800000000003</v>
      </c>
      <c r="E40" s="72">
        <f t="shared" si="1"/>
        <v>33279.800000000003</v>
      </c>
      <c r="F40" s="73">
        <f t="shared" si="2"/>
        <v>0</v>
      </c>
      <c r="G40" s="74"/>
      <c r="H40" s="72"/>
      <c r="I40" s="73">
        <f t="shared" si="3"/>
        <v>0</v>
      </c>
      <c r="J40" s="75">
        <v>0</v>
      </c>
      <c r="K40" s="74">
        <v>0</v>
      </c>
      <c r="L40" s="76">
        <f t="shared" si="4"/>
        <v>0</v>
      </c>
      <c r="M40" s="74">
        <v>0</v>
      </c>
      <c r="N40" s="77">
        <v>0</v>
      </c>
      <c r="O40" s="73">
        <f t="shared" si="5"/>
        <v>0</v>
      </c>
      <c r="P40" s="78">
        <v>33233.4</v>
      </c>
      <c r="Q40" s="72">
        <f t="shared" si="6"/>
        <v>33233.4</v>
      </c>
      <c r="R40" s="76">
        <f t="shared" si="7"/>
        <v>0</v>
      </c>
      <c r="S40" s="75">
        <f>29.4+17</f>
        <v>46.4</v>
      </c>
      <c r="T40" s="74">
        <f>29.4+17</f>
        <v>46.4</v>
      </c>
      <c r="U40" s="73">
        <f t="shared" si="8"/>
        <v>0</v>
      </c>
      <c r="V40" s="71">
        <f t="shared" si="15"/>
        <v>27694.1</v>
      </c>
      <c r="W40" s="72">
        <f t="shared" si="15"/>
        <v>27694.1</v>
      </c>
      <c r="X40" s="73">
        <f t="shared" si="10"/>
        <v>0</v>
      </c>
      <c r="Y40" s="75">
        <v>23039</v>
      </c>
      <c r="Z40" s="74">
        <v>23039</v>
      </c>
      <c r="AA40" s="73">
        <f t="shared" si="11"/>
        <v>0</v>
      </c>
      <c r="AB40" s="71">
        <v>4072.0999999999985</v>
      </c>
      <c r="AC40" s="72">
        <v>4072.0999999999985</v>
      </c>
      <c r="AD40" s="73">
        <f t="shared" si="12"/>
        <v>0</v>
      </c>
      <c r="AE40" s="71"/>
      <c r="AF40" s="72"/>
      <c r="AG40" s="73">
        <f t="shared" si="13"/>
        <v>0</v>
      </c>
      <c r="AH40" s="75">
        <v>583</v>
      </c>
      <c r="AI40" s="74">
        <v>583</v>
      </c>
      <c r="AJ40" s="73">
        <f t="shared" si="14"/>
        <v>0</v>
      </c>
      <c r="AL40" s="79"/>
      <c r="AM40" s="79"/>
    </row>
    <row r="41" spans="1:39" ht="33" customHeight="1">
      <c r="A41" s="68">
        <v>21</v>
      </c>
      <c r="B41" s="80" t="s">
        <v>188</v>
      </c>
      <c r="C41" s="70">
        <v>6534.6</v>
      </c>
      <c r="D41" s="71">
        <f t="shared" si="0"/>
        <v>26511.9</v>
      </c>
      <c r="E41" s="72">
        <f t="shared" si="1"/>
        <v>26511.9</v>
      </c>
      <c r="F41" s="73">
        <f t="shared" si="2"/>
        <v>0</v>
      </c>
      <c r="G41" s="74"/>
      <c r="H41" s="72"/>
      <c r="I41" s="73">
        <f t="shared" si="3"/>
        <v>0</v>
      </c>
      <c r="J41" s="75">
        <v>0</v>
      </c>
      <c r="K41" s="74">
        <v>0</v>
      </c>
      <c r="L41" s="76">
        <f t="shared" si="4"/>
        <v>0</v>
      </c>
      <c r="M41" s="74">
        <v>204</v>
      </c>
      <c r="N41" s="77">
        <v>204</v>
      </c>
      <c r="O41" s="73">
        <f t="shared" si="5"/>
        <v>0</v>
      </c>
      <c r="P41" s="78">
        <v>26079.9</v>
      </c>
      <c r="Q41" s="72">
        <f t="shared" si="6"/>
        <v>26079.9</v>
      </c>
      <c r="R41" s="76">
        <f t="shared" si="7"/>
        <v>0</v>
      </c>
      <c r="S41" s="75">
        <f>152.8+53+22.2</f>
        <v>228</v>
      </c>
      <c r="T41" s="74">
        <f>152.8+53+22.2</f>
        <v>228</v>
      </c>
      <c r="U41" s="73">
        <f t="shared" si="8"/>
        <v>0</v>
      </c>
      <c r="V41" s="71">
        <f t="shared" si="15"/>
        <v>22429.1</v>
      </c>
      <c r="W41" s="72">
        <f t="shared" si="15"/>
        <v>22429.1</v>
      </c>
      <c r="X41" s="73">
        <f t="shared" si="10"/>
        <v>0</v>
      </c>
      <c r="Y41" s="75">
        <v>18903</v>
      </c>
      <c r="Z41" s="74">
        <v>18903</v>
      </c>
      <c r="AA41" s="73">
        <f t="shared" si="11"/>
        <v>0</v>
      </c>
      <c r="AB41" s="71">
        <v>3196.5999999999985</v>
      </c>
      <c r="AC41" s="72">
        <v>3196.5999999999985</v>
      </c>
      <c r="AD41" s="73">
        <f t="shared" si="12"/>
        <v>0</v>
      </c>
      <c r="AE41" s="71"/>
      <c r="AF41" s="72"/>
      <c r="AG41" s="73">
        <f t="shared" si="13"/>
        <v>0</v>
      </c>
      <c r="AH41" s="75">
        <v>329.5</v>
      </c>
      <c r="AI41" s="74">
        <v>329.5</v>
      </c>
      <c r="AJ41" s="73">
        <f t="shared" si="14"/>
        <v>0</v>
      </c>
      <c r="AL41" s="79"/>
      <c r="AM41" s="79"/>
    </row>
    <row r="42" spans="1:39" ht="24.75" customHeight="1">
      <c r="A42" s="68">
        <v>22</v>
      </c>
      <c r="B42" s="80" t="s">
        <v>189</v>
      </c>
      <c r="C42" s="70">
        <v>14898.7</v>
      </c>
      <c r="D42" s="71">
        <f t="shared" si="0"/>
        <v>20980.3</v>
      </c>
      <c r="E42" s="72">
        <f t="shared" si="1"/>
        <v>20980.3</v>
      </c>
      <c r="F42" s="73">
        <f t="shared" si="2"/>
        <v>0</v>
      </c>
      <c r="G42" s="74"/>
      <c r="H42" s="72"/>
      <c r="I42" s="73">
        <f t="shared" si="3"/>
        <v>0</v>
      </c>
      <c r="J42" s="75">
        <v>0</v>
      </c>
      <c r="K42" s="74">
        <v>0</v>
      </c>
      <c r="L42" s="76">
        <f t="shared" si="4"/>
        <v>0</v>
      </c>
      <c r="M42" s="74">
        <v>0</v>
      </c>
      <c r="N42" s="77">
        <v>0</v>
      </c>
      <c r="O42" s="73">
        <f t="shared" si="5"/>
        <v>0</v>
      </c>
      <c r="P42" s="78">
        <v>20920</v>
      </c>
      <c r="Q42" s="72">
        <f t="shared" si="6"/>
        <v>20920</v>
      </c>
      <c r="R42" s="76">
        <f t="shared" si="7"/>
        <v>0</v>
      </c>
      <c r="S42" s="75">
        <f>9.3+10+41</f>
        <v>60.3</v>
      </c>
      <c r="T42" s="74">
        <f>9.3+10+41</f>
        <v>60.3</v>
      </c>
      <c r="U42" s="73">
        <f t="shared" si="8"/>
        <v>0</v>
      </c>
      <c r="V42" s="71">
        <f t="shared" si="15"/>
        <v>24240</v>
      </c>
      <c r="W42" s="72">
        <f t="shared" si="15"/>
        <v>24240</v>
      </c>
      <c r="X42" s="73">
        <f t="shared" si="10"/>
        <v>0</v>
      </c>
      <c r="Y42" s="75">
        <v>21799.1</v>
      </c>
      <c r="Z42" s="74">
        <v>21799.1</v>
      </c>
      <c r="AA42" s="73">
        <f t="shared" si="11"/>
        <v>0</v>
      </c>
      <c r="AB42" s="71">
        <v>2440.9000000000015</v>
      </c>
      <c r="AC42" s="72">
        <v>2440.9000000000015</v>
      </c>
      <c r="AD42" s="73">
        <f t="shared" si="12"/>
        <v>0</v>
      </c>
      <c r="AE42" s="71"/>
      <c r="AF42" s="72"/>
      <c r="AG42" s="73">
        <f t="shared" si="13"/>
        <v>0</v>
      </c>
      <c r="AH42" s="75">
        <v>0</v>
      </c>
      <c r="AI42" s="74">
        <v>0</v>
      </c>
      <c r="AJ42" s="73">
        <f t="shared" si="14"/>
        <v>0</v>
      </c>
      <c r="AL42" s="79"/>
      <c r="AM42" s="79"/>
    </row>
    <row r="43" spans="1:39" ht="26.25" customHeight="1">
      <c r="A43" s="68">
        <v>23</v>
      </c>
      <c r="B43" s="69" t="s">
        <v>160</v>
      </c>
      <c r="C43" s="70">
        <v>3275.1</v>
      </c>
      <c r="D43" s="71">
        <f t="shared" si="0"/>
        <v>10779.300000000001</v>
      </c>
      <c r="E43" s="72">
        <f t="shared" si="1"/>
        <v>10779.300000000001</v>
      </c>
      <c r="F43" s="73">
        <f t="shared" si="2"/>
        <v>0</v>
      </c>
      <c r="G43" s="74"/>
      <c r="H43" s="72"/>
      <c r="I43" s="73">
        <f t="shared" si="3"/>
        <v>0</v>
      </c>
      <c r="J43" s="75">
        <v>0</v>
      </c>
      <c r="K43" s="74">
        <v>0</v>
      </c>
      <c r="L43" s="76">
        <f t="shared" si="4"/>
        <v>0</v>
      </c>
      <c r="M43" s="74">
        <v>0</v>
      </c>
      <c r="N43" s="77">
        <v>0</v>
      </c>
      <c r="O43" s="73">
        <f t="shared" si="5"/>
        <v>0</v>
      </c>
      <c r="P43" s="78">
        <v>10447.1</v>
      </c>
      <c r="Q43" s="72">
        <f t="shared" si="6"/>
        <v>10447.1</v>
      </c>
      <c r="R43" s="76">
        <f t="shared" si="7"/>
        <v>0</v>
      </c>
      <c r="S43" s="75">
        <f>224.6+58.6+48.9+0.1</f>
        <v>332.2</v>
      </c>
      <c r="T43" s="74">
        <f>224.6+58.6+48.9+0.1</f>
        <v>332.2</v>
      </c>
      <c r="U43" s="73">
        <f t="shared" si="8"/>
        <v>0</v>
      </c>
      <c r="V43" s="71">
        <f t="shared" si="15"/>
        <v>10517.5</v>
      </c>
      <c r="W43" s="72">
        <f t="shared" si="15"/>
        <v>10517.5</v>
      </c>
      <c r="X43" s="73">
        <f t="shared" si="10"/>
        <v>0</v>
      </c>
      <c r="Y43" s="75">
        <v>7929</v>
      </c>
      <c r="Z43" s="74">
        <v>7929</v>
      </c>
      <c r="AA43" s="73">
        <f t="shared" si="11"/>
        <v>0</v>
      </c>
      <c r="AB43" s="71">
        <v>2538.5</v>
      </c>
      <c r="AC43" s="72">
        <v>2538.5</v>
      </c>
      <c r="AD43" s="73">
        <f t="shared" si="12"/>
        <v>0</v>
      </c>
      <c r="AE43" s="71"/>
      <c r="AF43" s="72"/>
      <c r="AG43" s="73">
        <f t="shared" si="13"/>
        <v>0</v>
      </c>
      <c r="AH43" s="75">
        <v>50</v>
      </c>
      <c r="AI43" s="74">
        <v>50</v>
      </c>
      <c r="AJ43" s="73">
        <f t="shared" si="14"/>
        <v>0</v>
      </c>
      <c r="AL43" s="79"/>
      <c r="AM43" s="79"/>
    </row>
    <row r="44" spans="1:39" ht="26.25" customHeight="1">
      <c r="A44" s="68">
        <v>24</v>
      </c>
      <c r="B44" s="80" t="s">
        <v>161</v>
      </c>
      <c r="C44" s="70">
        <v>3300.4</v>
      </c>
      <c r="D44" s="71">
        <f t="shared" si="0"/>
        <v>8604.1999999999989</v>
      </c>
      <c r="E44" s="72">
        <f t="shared" si="1"/>
        <v>8604.1999999999989</v>
      </c>
      <c r="F44" s="73">
        <f t="shared" si="2"/>
        <v>0</v>
      </c>
      <c r="G44" s="74"/>
      <c r="H44" s="72"/>
      <c r="I44" s="73">
        <f t="shared" si="3"/>
        <v>0</v>
      </c>
      <c r="J44" s="75">
        <v>14.4</v>
      </c>
      <c r="K44" s="74">
        <v>14.4</v>
      </c>
      <c r="L44" s="76">
        <f t="shared" si="4"/>
        <v>0</v>
      </c>
      <c r="M44" s="74">
        <v>0</v>
      </c>
      <c r="N44" s="77">
        <v>0</v>
      </c>
      <c r="O44" s="73">
        <f t="shared" si="5"/>
        <v>0</v>
      </c>
      <c r="P44" s="78">
        <v>7243.5</v>
      </c>
      <c r="Q44" s="72">
        <f t="shared" si="6"/>
        <v>7243.5</v>
      </c>
      <c r="R44" s="76">
        <f t="shared" si="7"/>
        <v>0</v>
      </c>
      <c r="S44" s="75">
        <f>321.3+995+30</f>
        <v>1346.3</v>
      </c>
      <c r="T44" s="74">
        <f>321.3+995+30</f>
        <v>1346.3</v>
      </c>
      <c r="U44" s="73">
        <f t="shared" si="8"/>
        <v>0</v>
      </c>
      <c r="V44" s="71">
        <f t="shared" si="15"/>
        <v>10216.799999999999</v>
      </c>
      <c r="W44" s="72">
        <f t="shared" si="15"/>
        <v>10216.799999999999</v>
      </c>
      <c r="X44" s="73">
        <f t="shared" si="10"/>
        <v>0</v>
      </c>
      <c r="Y44" s="75">
        <v>5949.6</v>
      </c>
      <c r="Z44" s="74">
        <v>5949.6</v>
      </c>
      <c r="AA44" s="73">
        <f t="shared" si="11"/>
        <v>0</v>
      </c>
      <c r="AB44" s="71">
        <v>4200.1999999999989</v>
      </c>
      <c r="AC44" s="72">
        <v>4200.1999999999989</v>
      </c>
      <c r="AD44" s="73">
        <f t="shared" si="12"/>
        <v>0</v>
      </c>
      <c r="AE44" s="71"/>
      <c r="AF44" s="72"/>
      <c r="AG44" s="73">
        <f t="shared" si="13"/>
        <v>0</v>
      </c>
      <c r="AH44" s="75">
        <v>67</v>
      </c>
      <c r="AI44" s="74">
        <v>67</v>
      </c>
      <c r="AJ44" s="73">
        <f t="shared" si="14"/>
        <v>0</v>
      </c>
      <c r="AL44" s="79"/>
      <c r="AM44" s="79"/>
    </row>
    <row r="45" spans="1:39" ht="26.25" customHeight="1">
      <c r="A45" s="68">
        <v>25</v>
      </c>
      <c r="B45" s="80" t="s">
        <v>162</v>
      </c>
      <c r="C45" s="70">
        <v>2829.2</v>
      </c>
      <c r="D45" s="71">
        <f t="shared" si="0"/>
        <v>6298.2999999999993</v>
      </c>
      <c r="E45" s="72">
        <f t="shared" si="1"/>
        <v>6298.2999999999993</v>
      </c>
      <c r="F45" s="73">
        <f t="shared" si="2"/>
        <v>0</v>
      </c>
      <c r="G45" s="74"/>
      <c r="H45" s="72"/>
      <c r="I45" s="73">
        <f t="shared" si="3"/>
        <v>0</v>
      </c>
      <c r="J45" s="75">
        <v>0</v>
      </c>
      <c r="K45" s="74">
        <v>0</v>
      </c>
      <c r="L45" s="76">
        <f t="shared" si="4"/>
        <v>0</v>
      </c>
      <c r="M45" s="74">
        <v>0</v>
      </c>
      <c r="N45" s="77">
        <v>0</v>
      </c>
      <c r="O45" s="73">
        <f t="shared" si="5"/>
        <v>0</v>
      </c>
      <c r="P45" s="78">
        <v>6287.9</v>
      </c>
      <c r="Q45" s="72">
        <f t="shared" si="6"/>
        <v>6287.9</v>
      </c>
      <c r="R45" s="76">
        <f t="shared" si="7"/>
        <v>0</v>
      </c>
      <c r="S45" s="75">
        <f>4.3+6+0.1</f>
        <v>10.4</v>
      </c>
      <c r="T45" s="74">
        <f>4.3+6+0.1</f>
        <v>10.4</v>
      </c>
      <c r="U45" s="73">
        <f t="shared" si="8"/>
        <v>0</v>
      </c>
      <c r="V45" s="71">
        <f t="shared" si="15"/>
        <v>6285.4</v>
      </c>
      <c r="W45" s="72">
        <f t="shared" si="15"/>
        <v>6285.4</v>
      </c>
      <c r="X45" s="73">
        <f t="shared" si="10"/>
        <v>0</v>
      </c>
      <c r="Y45" s="75">
        <v>4859.7</v>
      </c>
      <c r="Z45" s="74">
        <v>4859.7</v>
      </c>
      <c r="AA45" s="73">
        <f t="shared" si="11"/>
        <v>0</v>
      </c>
      <c r="AB45" s="71">
        <v>1425.6999999999998</v>
      </c>
      <c r="AC45" s="72">
        <v>1425.6999999999998</v>
      </c>
      <c r="AD45" s="73">
        <f t="shared" si="12"/>
        <v>0</v>
      </c>
      <c r="AE45" s="71"/>
      <c r="AF45" s="72"/>
      <c r="AG45" s="73">
        <f t="shared" si="13"/>
        <v>0</v>
      </c>
      <c r="AH45" s="75">
        <v>0</v>
      </c>
      <c r="AI45" s="74">
        <v>0</v>
      </c>
      <c r="AJ45" s="73">
        <f t="shared" si="14"/>
        <v>0</v>
      </c>
      <c r="AL45" s="79"/>
      <c r="AM45" s="79"/>
    </row>
    <row r="46" spans="1:39" ht="26.25" customHeight="1">
      <c r="A46" s="68">
        <v>26</v>
      </c>
      <c r="B46" s="80" t="s">
        <v>163</v>
      </c>
      <c r="C46" s="70">
        <v>47952.1</v>
      </c>
      <c r="D46" s="71">
        <f t="shared" si="0"/>
        <v>33037.800000000003</v>
      </c>
      <c r="E46" s="72">
        <f t="shared" si="1"/>
        <v>33037.800000000003</v>
      </c>
      <c r="F46" s="73">
        <f t="shared" si="2"/>
        <v>0</v>
      </c>
      <c r="G46" s="74"/>
      <c r="H46" s="72"/>
      <c r="I46" s="73">
        <f t="shared" si="3"/>
        <v>0</v>
      </c>
      <c r="J46" s="75">
        <v>0</v>
      </c>
      <c r="K46" s="74">
        <v>0</v>
      </c>
      <c r="L46" s="76">
        <f t="shared" si="4"/>
        <v>0</v>
      </c>
      <c r="M46" s="74">
        <v>0</v>
      </c>
      <c r="N46" s="77">
        <v>0</v>
      </c>
      <c r="O46" s="73">
        <f t="shared" si="5"/>
        <v>0</v>
      </c>
      <c r="P46" s="78">
        <v>32933.5</v>
      </c>
      <c r="Q46" s="72">
        <f t="shared" si="6"/>
        <v>32933.5</v>
      </c>
      <c r="R46" s="76">
        <f t="shared" si="7"/>
        <v>0</v>
      </c>
      <c r="S46" s="75">
        <f>37+67.3</f>
        <v>104.3</v>
      </c>
      <c r="T46" s="74">
        <f>37+67.3</f>
        <v>104.3</v>
      </c>
      <c r="U46" s="73">
        <f t="shared" si="8"/>
        <v>0</v>
      </c>
      <c r="V46" s="71">
        <f t="shared" si="15"/>
        <v>37846</v>
      </c>
      <c r="W46" s="72">
        <f t="shared" si="15"/>
        <v>37846</v>
      </c>
      <c r="X46" s="73">
        <f t="shared" si="10"/>
        <v>0</v>
      </c>
      <c r="Y46" s="75">
        <v>31466</v>
      </c>
      <c r="Z46" s="74">
        <v>31466</v>
      </c>
      <c r="AA46" s="73">
        <f t="shared" si="11"/>
        <v>0</v>
      </c>
      <c r="AB46" s="71">
        <v>6380</v>
      </c>
      <c r="AC46" s="72">
        <v>6380</v>
      </c>
      <c r="AD46" s="73">
        <f t="shared" si="12"/>
        <v>0</v>
      </c>
      <c r="AE46" s="71"/>
      <c r="AF46" s="72"/>
      <c r="AG46" s="73">
        <f t="shared" si="13"/>
        <v>0</v>
      </c>
      <c r="AH46" s="75">
        <v>0</v>
      </c>
      <c r="AI46" s="74">
        <v>0</v>
      </c>
      <c r="AJ46" s="73">
        <f t="shared" si="14"/>
        <v>0</v>
      </c>
      <c r="AL46" s="79"/>
      <c r="AM46" s="79"/>
    </row>
    <row r="47" spans="1:39" ht="26.25" customHeight="1">
      <c r="A47" s="68">
        <v>27</v>
      </c>
      <c r="B47" s="80" t="s">
        <v>164</v>
      </c>
      <c r="C47" s="70">
        <v>30136.6</v>
      </c>
      <c r="D47" s="71">
        <f t="shared" si="0"/>
        <v>28418.2</v>
      </c>
      <c r="E47" s="72">
        <f t="shared" si="1"/>
        <v>28418.2</v>
      </c>
      <c r="F47" s="73">
        <f t="shared" si="2"/>
        <v>0</v>
      </c>
      <c r="G47" s="74"/>
      <c r="H47" s="72"/>
      <c r="I47" s="73">
        <f t="shared" si="3"/>
        <v>0</v>
      </c>
      <c r="J47" s="75">
        <f>822+58.8</f>
        <v>880.8</v>
      </c>
      <c r="K47" s="74">
        <f>822+58.8</f>
        <v>880.8</v>
      </c>
      <c r="L47" s="76">
        <f t="shared" si="4"/>
        <v>0</v>
      </c>
      <c r="M47" s="74">
        <v>0</v>
      </c>
      <c r="N47" s="77">
        <v>0</v>
      </c>
      <c r="O47" s="73">
        <f t="shared" si="5"/>
        <v>0</v>
      </c>
      <c r="P47" s="78">
        <v>27344.2</v>
      </c>
      <c r="Q47" s="72">
        <f t="shared" si="6"/>
        <v>27344.2</v>
      </c>
      <c r="R47" s="76">
        <f t="shared" si="7"/>
        <v>0</v>
      </c>
      <c r="S47" s="75">
        <f>106.3+6+80.9</f>
        <v>193.2</v>
      </c>
      <c r="T47" s="74">
        <f>106.3+6+80.9</f>
        <v>193.2</v>
      </c>
      <c r="U47" s="73">
        <f t="shared" si="8"/>
        <v>0</v>
      </c>
      <c r="V47" s="71">
        <f t="shared" si="15"/>
        <v>31448.2</v>
      </c>
      <c r="W47" s="72">
        <f t="shared" si="15"/>
        <v>31448.2</v>
      </c>
      <c r="X47" s="73">
        <f t="shared" si="10"/>
        <v>0</v>
      </c>
      <c r="Y47" s="75">
        <v>28169.599999999999</v>
      </c>
      <c r="Z47" s="74">
        <v>28169.599999999999</v>
      </c>
      <c r="AA47" s="73">
        <f t="shared" si="11"/>
        <v>0</v>
      </c>
      <c r="AB47" s="71">
        <v>3179.7000000000007</v>
      </c>
      <c r="AC47" s="72">
        <v>3179.7000000000007</v>
      </c>
      <c r="AD47" s="73">
        <f t="shared" si="12"/>
        <v>0</v>
      </c>
      <c r="AE47" s="71"/>
      <c r="AF47" s="72"/>
      <c r="AG47" s="73">
        <f t="shared" si="13"/>
        <v>0</v>
      </c>
      <c r="AH47" s="75">
        <v>98.9</v>
      </c>
      <c r="AI47" s="74">
        <v>98.9</v>
      </c>
      <c r="AJ47" s="73">
        <f t="shared" si="14"/>
        <v>0</v>
      </c>
      <c r="AL47" s="79"/>
      <c r="AM47" s="79"/>
    </row>
    <row r="48" spans="1:39" ht="26.25" customHeight="1">
      <c r="A48" s="68">
        <v>28</v>
      </c>
      <c r="B48" s="82" t="s">
        <v>165</v>
      </c>
      <c r="C48" s="83">
        <v>13598</v>
      </c>
      <c r="D48" s="71">
        <f t="shared" si="0"/>
        <v>9272.5</v>
      </c>
      <c r="E48" s="72">
        <f t="shared" si="1"/>
        <v>9272.5</v>
      </c>
      <c r="F48" s="73">
        <f t="shared" si="2"/>
        <v>0</v>
      </c>
      <c r="G48" s="84"/>
      <c r="H48" s="72"/>
      <c r="I48" s="73">
        <f t="shared" si="3"/>
        <v>0</v>
      </c>
      <c r="J48" s="85">
        <v>0</v>
      </c>
      <c r="K48" s="84">
        <v>0</v>
      </c>
      <c r="L48" s="76">
        <f t="shared" si="4"/>
        <v>0</v>
      </c>
      <c r="M48" s="84">
        <v>0</v>
      </c>
      <c r="N48" s="86">
        <v>0</v>
      </c>
      <c r="O48" s="73">
        <f t="shared" si="5"/>
        <v>0</v>
      </c>
      <c r="P48" s="87">
        <v>8452.2000000000007</v>
      </c>
      <c r="Q48" s="72">
        <f t="shared" si="6"/>
        <v>8452.2000000000007</v>
      </c>
      <c r="R48" s="76">
        <f t="shared" si="7"/>
        <v>0</v>
      </c>
      <c r="S48" s="85">
        <f>716+63.3+8.5+32.5</f>
        <v>820.3</v>
      </c>
      <c r="T48" s="84">
        <f>716+63.3+8.5+32.5</f>
        <v>820.3</v>
      </c>
      <c r="U48" s="73">
        <f t="shared" si="8"/>
        <v>0</v>
      </c>
      <c r="V48" s="71">
        <f t="shared" si="15"/>
        <v>12862.7</v>
      </c>
      <c r="W48" s="72">
        <f t="shared" si="15"/>
        <v>12862.7</v>
      </c>
      <c r="X48" s="73">
        <f t="shared" si="10"/>
        <v>0</v>
      </c>
      <c r="Y48" s="85">
        <v>10785.5</v>
      </c>
      <c r="Z48" s="84">
        <v>10785.5</v>
      </c>
      <c r="AA48" s="73">
        <f t="shared" si="11"/>
        <v>0</v>
      </c>
      <c r="AB48" s="71">
        <v>2018.7000000000007</v>
      </c>
      <c r="AC48" s="72">
        <v>2018.7000000000007</v>
      </c>
      <c r="AD48" s="73">
        <f t="shared" si="12"/>
        <v>0</v>
      </c>
      <c r="AE48" s="71"/>
      <c r="AF48" s="72"/>
      <c r="AG48" s="73">
        <f t="shared" si="13"/>
        <v>0</v>
      </c>
      <c r="AH48" s="85">
        <v>58.5</v>
      </c>
      <c r="AI48" s="84">
        <v>58.5</v>
      </c>
      <c r="AJ48" s="73">
        <f t="shared" si="14"/>
        <v>0</v>
      </c>
      <c r="AL48" s="79"/>
      <c r="AM48" s="79"/>
    </row>
    <row r="49" spans="1:39" ht="26.25" customHeight="1">
      <c r="A49" s="68">
        <v>29</v>
      </c>
      <c r="B49" s="82" t="s">
        <v>166</v>
      </c>
      <c r="C49" s="70">
        <v>4289.6000000000004</v>
      </c>
      <c r="D49" s="71">
        <f t="shared" si="0"/>
        <v>15892</v>
      </c>
      <c r="E49" s="72">
        <f t="shared" si="1"/>
        <v>15892</v>
      </c>
      <c r="F49" s="73">
        <f t="shared" si="2"/>
        <v>0</v>
      </c>
      <c r="G49" s="74"/>
      <c r="H49" s="72"/>
      <c r="I49" s="73">
        <f t="shared" si="3"/>
        <v>0</v>
      </c>
      <c r="J49" s="75">
        <v>32.4</v>
      </c>
      <c r="K49" s="74">
        <v>32.4</v>
      </c>
      <c r="L49" s="76">
        <f t="shared" si="4"/>
        <v>0</v>
      </c>
      <c r="M49" s="74">
        <v>0</v>
      </c>
      <c r="N49" s="77">
        <v>0</v>
      </c>
      <c r="O49" s="73">
        <f t="shared" si="5"/>
        <v>0</v>
      </c>
      <c r="P49" s="78">
        <v>14964.4</v>
      </c>
      <c r="Q49" s="72">
        <f t="shared" si="6"/>
        <v>14964.4</v>
      </c>
      <c r="R49" s="76">
        <f t="shared" si="7"/>
        <v>0</v>
      </c>
      <c r="S49" s="75">
        <f>514.5+316.7+50.8+13.2</f>
        <v>895.2</v>
      </c>
      <c r="T49" s="74">
        <f>514.5+316.7+50.8+13.2</f>
        <v>895.2</v>
      </c>
      <c r="U49" s="73">
        <f t="shared" si="8"/>
        <v>0</v>
      </c>
      <c r="V49" s="71">
        <f t="shared" si="15"/>
        <v>14404.6</v>
      </c>
      <c r="W49" s="72">
        <f t="shared" si="15"/>
        <v>14404.6</v>
      </c>
      <c r="X49" s="73">
        <f t="shared" si="10"/>
        <v>0</v>
      </c>
      <c r="Y49" s="75">
        <v>12048</v>
      </c>
      <c r="Z49" s="74">
        <v>12048</v>
      </c>
      <c r="AA49" s="73">
        <f t="shared" si="11"/>
        <v>0</v>
      </c>
      <c r="AB49" s="71">
        <v>2296.6000000000004</v>
      </c>
      <c r="AC49" s="72">
        <v>2296.6000000000004</v>
      </c>
      <c r="AD49" s="73">
        <f t="shared" si="12"/>
        <v>0</v>
      </c>
      <c r="AE49" s="71"/>
      <c r="AF49" s="72"/>
      <c r="AG49" s="73">
        <f t="shared" si="13"/>
        <v>0</v>
      </c>
      <c r="AH49" s="75">
        <v>60</v>
      </c>
      <c r="AI49" s="74">
        <v>60</v>
      </c>
      <c r="AJ49" s="73">
        <f t="shared" si="14"/>
        <v>0</v>
      </c>
      <c r="AL49" s="79"/>
      <c r="AM49" s="79"/>
    </row>
    <row r="50" spans="1:39" ht="26.25" customHeight="1">
      <c r="A50" s="68">
        <v>30</v>
      </c>
      <c r="B50" s="80" t="s">
        <v>58</v>
      </c>
      <c r="C50" s="70">
        <v>17747.099999999999</v>
      </c>
      <c r="D50" s="71">
        <f t="shared" si="0"/>
        <v>23506.2</v>
      </c>
      <c r="E50" s="72">
        <f t="shared" si="1"/>
        <v>23506.2</v>
      </c>
      <c r="F50" s="73">
        <f t="shared" si="2"/>
        <v>0</v>
      </c>
      <c r="G50" s="74"/>
      <c r="H50" s="72"/>
      <c r="I50" s="73">
        <f t="shared" si="3"/>
        <v>0</v>
      </c>
      <c r="J50" s="75">
        <v>0</v>
      </c>
      <c r="K50" s="74">
        <v>0</v>
      </c>
      <c r="L50" s="76">
        <f t="shared" si="4"/>
        <v>0</v>
      </c>
      <c r="M50" s="74">
        <v>0</v>
      </c>
      <c r="N50" s="77">
        <v>0</v>
      </c>
      <c r="O50" s="73">
        <f t="shared" si="5"/>
        <v>0</v>
      </c>
      <c r="P50" s="78">
        <v>23392.9</v>
      </c>
      <c r="Q50" s="72">
        <f t="shared" si="6"/>
        <v>23392.9</v>
      </c>
      <c r="R50" s="76">
        <f t="shared" si="7"/>
        <v>0</v>
      </c>
      <c r="S50" s="75">
        <f>73.7+6+33.6</f>
        <v>113.30000000000001</v>
      </c>
      <c r="T50" s="74">
        <f>73.7+6+33.6</f>
        <v>113.30000000000001</v>
      </c>
      <c r="U50" s="73">
        <f t="shared" si="8"/>
        <v>0</v>
      </c>
      <c r="V50" s="71">
        <f t="shared" si="15"/>
        <v>27048.799999999999</v>
      </c>
      <c r="W50" s="72">
        <f t="shared" si="15"/>
        <v>27048.799999999999</v>
      </c>
      <c r="X50" s="73">
        <f t="shared" si="10"/>
        <v>0</v>
      </c>
      <c r="Y50" s="75">
        <v>25745</v>
      </c>
      <c r="Z50" s="74">
        <v>25745</v>
      </c>
      <c r="AA50" s="73">
        <f t="shared" si="11"/>
        <v>0</v>
      </c>
      <c r="AB50" s="71">
        <v>796.09999999999854</v>
      </c>
      <c r="AC50" s="72">
        <v>796.09999999999854</v>
      </c>
      <c r="AD50" s="73">
        <f t="shared" si="12"/>
        <v>0</v>
      </c>
      <c r="AE50" s="71"/>
      <c r="AF50" s="72"/>
      <c r="AG50" s="73">
        <f t="shared" si="13"/>
        <v>0</v>
      </c>
      <c r="AH50" s="75">
        <v>507.7</v>
      </c>
      <c r="AI50" s="74">
        <v>507.7</v>
      </c>
      <c r="AJ50" s="73">
        <f t="shared" si="14"/>
        <v>0</v>
      </c>
      <c r="AL50" s="79"/>
      <c r="AM50" s="79"/>
    </row>
    <row r="51" spans="1:39" ht="26.25" customHeight="1">
      <c r="A51" s="68">
        <v>31</v>
      </c>
      <c r="B51" s="80" t="s">
        <v>167</v>
      </c>
      <c r="C51" s="70">
        <v>7981</v>
      </c>
      <c r="D51" s="71">
        <f t="shared" si="0"/>
        <v>26342.500000000004</v>
      </c>
      <c r="E51" s="72">
        <f t="shared" si="1"/>
        <v>26342.500000000004</v>
      </c>
      <c r="F51" s="73">
        <f t="shared" si="2"/>
        <v>0</v>
      </c>
      <c r="G51" s="74"/>
      <c r="H51" s="72"/>
      <c r="I51" s="73">
        <f t="shared" si="3"/>
        <v>0</v>
      </c>
      <c r="J51" s="75">
        <f>800+14.4</f>
        <v>814.4</v>
      </c>
      <c r="K51" s="74">
        <f>800+14.4</f>
        <v>814.4</v>
      </c>
      <c r="L51" s="76">
        <f t="shared" si="4"/>
        <v>0</v>
      </c>
      <c r="M51" s="74">
        <v>0</v>
      </c>
      <c r="N51" s="77">
        <v>0</v>
      </c>
      <c r="O51" s="73">
        <f t="shared" si="5"/>
        <v>0</v>
      </c>
      <c r="P51" s="78">
        <v>25347.9</v>
      </c>
      <c r="Q51" s="72">
        <f t="shared" si="6"/>
        <v>25347.9</v>
      </c>
      <c r="R51" s="76">
        <f t="shared" si="7"/>
        <v>0</v>
      </c>
      <c r="S51" s="75">
        <f>123+33+24.2</f>
        <v>180.2</v>
      </c>
      <c r="T51" s="74">
        <f>123+33+24.2</f>
        <v>180.2</v>
      </c>
      <c r="U51" s="73">
        <f t="shared" si="8"/>
        <v>0</v>
      </c>
      <c r="V51" s="71">
        <f t="shared" si="15"/>
        <v>22692.1</v>
      </c>
      <c r="W51" s="72">
        <f t="shared" si="15"/>
        <v>22692.1</v>
      </c>
      <c r="X51" s="73">
        <f t="shared" si="10"/>
        <v>0</v>
      </c>
      <c r="Y51" s="75">
        <v>19928.599999999999</v>
      </c>
      <c r="Z51" s="74">
        <v>19928.599999999999</v>
      </c>
      <c r="AA51" s="73">
        <f t="shared" si="11"/>
        <v>0</v>
      </c>
      <c r="AB51" s="71">
        <v>2727.5</v>
      </c>
      <c r="AC51" s="72">
        <v>2727.5</v>
      </c>
      <c r="AD51" s="73">
        <f t="shared" si="12"/>
        <v>0</v>
      </c>
      <c r="AE51" s="71"/>
      <c r="AF51" s="72"/>
      <c r="AG51" s="73">
        <f t="shared" si="13"/>
        <v>0</v>
      </c>
      <c r="AH51" s="75">
        <v>36</v>
      </c>
      <c r="AI51" s="74">
        <v>36</v>
      </c>
      <c r="AJ51" s="73">
        <f t="shared" si="14"/>
        <v>0</v>
      </c>
      <c r="AL51" s="79"/>
      <c r="AM51" s="79"/>
    </row>
    <row r="52" spans="1:39" ht="26.25" customHeight="1">
      <c r="A52" s="68">
        <v>32</v>
      </c>
      <c r="B52" s="80" t="s">
        <v>168</v>
      </c>
      <c r="C52" s="70">
        <v>4955.6000000000004</v>
      </c>
      <c r="D52" s="71">
        <f t="shared" si="0"/>
        <v>15768.1</v>
      </c>
      <c r="E52" s="72">
        <f t="shared" si="1"/>
        <v>15768.1</v>
      </c>
      <c r="F52" s="73">
        <f t="shared" si="2"/>
        <v>0</v>
      </c>
      <c r="G52" s="74"/>
      <c r="H52" s="72"/>
      <c r="I52" s="73">
        <f t="shared" si="3"/>
        <v>0</v>
      </c>
      <c r="J52" s="75">
        <v>0</v>
      </c>
      <c r="K52" s="74">
        <v>0</v>
      </c>
      <c r="L52" s="76">
        <f t="shared" si="4"/>
        <v>0</v>
      </c>
      <c r="M52" s="74">
        <v>0</v>
      </c>
      <c r="N52" s="77">
        <v>0</v>
      </c>
      <c r="O52" s="73">
        <f t="shared" si="5"/>
        <v>0</v>
      </c>
      <c r="P52" s="78">
        <v>15651</v>
      </c>
      <c r="Q52" s="72">
        <f t="shared" si="6"/>
        <v>15651</v>
      </c>
      <c r="R52" s="76">
        <f t="shared" si="7"/>
        <v>0</v>
      </c>
      <c r="S52" s="75">
        <f>58.6+6+52.4+0.1</f>
        <v>117.1</v>
      </c>
      <c r="T52" s="74">
        <f>58.6+6+52.4+0.1</f>
        <v>117.1</v>
      </c>
      <c r="U52" s="73">
        <f t="shared" si="8"/>
        <v>0</v>
      </c>
      <c r="V52" s="71">
        <f t="shared" si="15"/>
        <v>15948.1</v>
      </c>
      <c r="W52" s="72">
        <f t="shared" si="15"/>
        <v>15948.1</v>
      </c>
      <c r="X52" s="73">
        <f t="shared" si="10"/>
        <v>0</v>
      </c>
      <c r="Y52" s="75">
        <v>11953.4</v>
      </c>
      <c r="Z52" s="74">
        <v>11953.4</v>
      </c>
      <c r="AA52" s="73">
        <f t="shared" si="11"/>
        <v>0</v>
      </c>
      <c r="AB52" s="71">
        <v>3993.7000000000007</v>
      </c>
      <c r="AC52" s="72">
        <v>3993.7000000000007</v>
      </c>
      <c r="AD52" s="73">
        <f t="shared" si="12"/>
        <v>0</v>
      </c>
      <c r="AE52" s="71"/>
      <c r="AF52" s="72"/>
      <c r="AG52" s="73">
        <f t="shared" si="13"/>
        <v>0</v>
      </c>
      <c r="AH52" s="75">
        <v>1</v>
      </c>
      <c r="AI52" s="74">
        <v>1</v>
      </c>
      <c r="AJ52" s="73">
        <f t="shared" si="14"/>
        <v>0</v>
      </c>
      <c r="AL52" s="79"/>
      <c r="AM52" s="79"/>
    </row>
    <row r="53" spans="1:39" ht="26.25" customHeight="1">
      <c r="A53" s="68">
        <v>33</v>
      </c>
      <c r="B53" s="80" t="s">
        <v>169</v>
      </c>
      <c r="C53" s="70">
        <v>3559</v>
      </c>
      <c r="D53" s="71">
        <f t="shared" ref="D53:D84" si="16">+G53+J53+M53+P53+S53</f>
        <v>20479.7</v>
      </c>
      <c r="E53" s="72">
        <f t="shared" ref="E53:E84" si="17">+H53+K53+N53+Q53+T53</f>
        <v>20479.7</v>
      </c>
      <c r="F53" s="73">
        <f t="shared" si="2"/>
        <v>0</v>
      </c>
      <c r="G53" s="74"/>
      <c r="H53" s="72"/>
      <c r="I53" s="73">
        <f t="shared" si="3"/>
        <v>0</v>
      </c>
      <c r="J53" s="75">
        <v>222</v>
      </c>
      <c r="K53" s="74">
        <v>222</v>
      </c>
      <c r="L53" s="76">
        <f t="shared" si="4"/>
        <v>0</v>
      </c>
      <c r="M53" s="74">
        <v>0</v>
      </c>
      <c r="N53" s="77">
        <v>0</v>
      </c>
      <c r="O53" s="73">
        <f t="shared" si="5"/>
        <v>0</v>
      </c>
      <c r="P53" s="78">
        <v>20225.2</v>
      </c>
      <c r="Q53" s="72">
        <f t="shared" si="6"/>
        <v>20225.2</v>
      </c>
      <c r="R53" s="76">
        <f t="shared" si="7"/>
        <v>0</v>
      </c>
      <c r="S53" s="75">
        <f>20+6+6.5</f>
        <v>32.5</v>
      </c>
      <c r="T53" s="74">
        <f>20+6+6.5</f>
        <v>32.5</v>
      </c>
      <c r="U53" s="73">
        <f t="shared" si="8"/>
        <v>0</v>
      </c>
      <c r="V53" s="71">
        <f t="shared" ref="V53:W70" si="18">Y53+AB53+AE53+AH53</f>
        <v>18188.900000000001</v>
      </c>
      <c r="W53" s="72">
        <f t="shared" si="18"/>
        <v>18188.900000000001</v>
      </c>
      <c r="X53" s="73">
        <f t="shared" si="10"/>
        <v>0</v>
      </c>
      <c r="Y53" s="75">
        <v>17082.099999999999</v>
      </c>
      <c r="Z53" s="74">
        <v>17082.099999999999</v>
      </c>
      <c r="AA53" s="73">
        <f t="shared" si="11"/>
        <v>0</v>
      </c>
      <c r="AB53" s="71">
        <v>1065.9000000000015</v>
      </c>
      <c r="AC53" s="72">
        <v>1065.9000000000015</v>
      </c>
      <c r="AD53" s="73">
        <f t="shared" si="12"/>
        <v>0</v>
      </c>
      <c r="AE53" s="71"/>
      <c r="AF53" s="72"/>
      <c r="AG53" s="73">
        <f t="shared" si="13"/>
        <v>0</v>
      </c>
      <c r="AH53" s="75">
        <v>40.9</v>
      </c>
      <c r="AI53" s="74">
        <v>40.9</v>
      </c>
      <c r="AJ53" s="73">
        <f t="shared" si="14"/>
        <v>0</v>
      </c>
      <c r="AL53" s="79"/>
      <c r="AM53" s="79"/>
    </row>
    <row r="54" spans="1:39" ht="26.25" customHeight="1">
      <c r="A54" s="68">
        <v>34</v>
      </c>
      <c r="B54" s="80" t="s">
        <v>170</v>
      </c>
      <c r="C54" s="70">
        <v>13570.7</v>
      </c>
      <c r="D54" s="71">
        <f t="shared" si="16"/>
        <v>12531.6</v>
      </c>
      <c r="E54" s="72">
        <f t="shared" si="17"/>
        <v>12531.6</v>
      </c>
      <c r="F54" s="73">
        <f t="shared" si="2"/>
        <v>0</v>
      </c>
      <c r="G54" s="74"/>
      <c r="H54" s="72"/>
      <c r="I54" s="73">
        <f t="shared" si="3"/>
        <v>0</v>
      </c>
      <c r="J54" s="75">
        <v>0</v>
      </c>
      <c r="K54" s="74">
        <v>0</v>
      </c>
      <c r="L54" s="76">
        <f t="shared" si="4"/>
        <v>0</v>
      </c>
      <c r="M54" s="74">
        <v>0</v>
      </c>
      <c r="N54" s="77">
        <v>0</v>
      </c>
      <c r="O54" s="73">
        <f t="shared" si="5"/>
        <v>0</v>
      </c>
      <c r="P54" s="78">
        <v>10934.5</v>
      </c>
      <c r="Q54" s="72">
        <f t="shared" si="6"/>
        <v>10934.5</v>
      </c>
      <c r="R54" s="76">
        <f t="shared" si="7"/>
        <v>0</v>
      </c>
      <c r="S54" s="75">
        <f>1550.6+6+40.5</f>
        <v>1597.1</v>
      </c>
      <c r="T54" s="74">
        <f>1550.6+6+40.5</f>
        <v>1597.1</v>
      </c>
      <c r="U54" s="73">
        <f t="shared" si="8"/>
        <v>0</v>
      </c>
      <c r="V54" s="71">
        <f t="shared" si="18"/>
        <v>18393.099999999999</v>
      </c>
      <c r="W54" s="72">
        <f t="shared" si="18"/>
        <v>18393.099999999999</v>
      </c>
      <c r="X54" s="73">
        <f t="shared" si="10"/>
        <v>0</v>
      </c>
      <c r="Y54" s="75">
        <v>12419</v>
      </c>
      <c r="Z54" s="74">
        <v>12419</v>
      </c>
      <c r="AA54" s="73">
        <f t="shared" si="11"/>
        <v>0</v>
      </c>
      <c r="AB54" s="71">
        <v>5750.0999999999985</v>
      </c>
      <c r="AC54" s="72">
        <v>5750.0999999999985</v>
      </c>
      <c r="AD54" s="73">
        <f t="shared" si="12"/>
        <v>0</v>
      </c>
      <c r="AE54" s="71"/>
      <c r="AF54" s="72"/>
      <c r="AG54" s="73">
        <f t="shared" si="13"/>
        <v>0</v>
      </c>
      <c r="AH54" s="75">
        <v>224</v>
      </c>
      <c r="AI54" s="74">
        <v>224</v>
      </c>
      <c r="AJ54" s="73">
        <f t="shared" si="14"/>
        <v>0</v>
      </c>
      <c r="AL54" s="79"/>
      <c r="AM54" s="79"/>
    </row>
    <row r="55" spans="1:39" ht="26.25" customHeight="1">
      <c r="A55" s="68">
        <v>35</v>
      </c>
      <c r="B55" s="80" t="s">
        <v>171</v>
      </c>
      <c r="C55" s="70">
        <v>6801.7</v>
      </c>
      <c r="D55" s="71">
        <f t="shared" si="16"/>
        <v>31074.400000000001</v>
      </c>
      <c r="E55" s="72">
        <f t="shared" si="17"/>
        <v>31074.400000000001</v>
      </c>
      <c r="F55" s="73">
        <f t="shared" si="2"/>
        <v>0</v>
      </c>
      <c r="G55" s="74"/>
      <c r="H55" s="72"/>
      <c r="I55" s="73">
        <f t="shared" si="3"/>
        <v>0</v>
      </c>
      <c r="J55" s="75">
        <v>51</v>
      </c>
      <c r="K55" s="74">
        <v>51</v>
      </c>
      <c r="L55" s="76">
        <f t="shared" si="4"/>
        <v>0</v>
      </c>
      <c r="M55" s="74">
        <v>0</v>
      </c>
      <c r="N55" s="77">
        <v>0</v>
      </c>
      <c r="O55" s="73">
        <f t="shared" si="5"/>
        <v>0</v>
      </c>
      <c r="P55" s="78">
        <v>30966.400000000001</v>
      </c>
      <c r="Q55" s="72">
        <f t="shared" si="6"/>
        <v>30966.400000000001</v>
      </c>
      <c r="R55" s="76">
        <f t="shared" si="7"/>
        <v>0</v>
      </c>
      <c r="S55" s="75">
        <f>51+6</f>
        <v>57</v>
      </c>
      <c r="T55" s="74">
        <f>51+6</f>
        <v>57</v>
      </c>
      <c r="U55" s="73">
        <f t="shared" si="8"/>
        <v>0</v>
      </c>
      <c r="V55" s="71">
        <f t="shared" si="18"/>
        <v>26884.5</v>
      </c>
      <c r="W55" s="72">
        <f t="shared" si="18"/>
        <v>26884.5</v>
      </c>
      <c r="X55" s="73">
        <f t="shared" si="10"/>
        <v>0</v>
      </c>
      <c r="Y55" s="75">
        <v>24703.4</v>
      </c>
      <c r="Z55" s="74">
        <v>24703.4</v>
      </c>
      <c r="AA55" s="73">
        <f t="shared" si="11"/>
        <v>0</v>
      </c>
      <c r="AB55" s="71">
        <v>1985.3999999999978</v>
      </c>
      <c r="AC55" s="72">
        <v>1985.3999999999978</v>
      </c>
      <c r="AD55" s="73">
        <f t="shared" si="12"/>
        <v>0</v>
      </c>
      <c r="AE55" s="71"/>
      <c r="AF55" s="72"/>
      <c r="AG55" s="73">
        <f t="shared" si="13"/>
        <v>0</v>
      </c>
      <c r="AH55" s="75">
        <v>195.7</v>
      </c>
      <c r="AI55" s="74">
        <v>195.7</v>
      </c>
      <c r="AJ55" s="73">
        <f t="shared" si="14"/>
        <v>0</v>
      </c>
      <c r="AL55" s="79"/>
      <c r="AM55" s="79"/>
    </row>
    <row r="56" spans="1:39" ht="26.25" customHeight="1">
      <c r="A56" s="68">
        <v>36</v>
      </c>
      <c r="B56" s="80" t="s">
        <v>172</v>
      </c>
      <c r="C56" s="70">
        <v>9608</v>
      </c>
      <c r="D56" s="71">
        <f t="shared" si="16"/>
        <v>30434.800000000003</v>
      </c>
      <c r="E56" s="72">
        <f t="shared" si="17"/>
        <v>30434.800000000003</v>
      </c>
      <c r="F56" s="73">
        <f t="shared" si="2"/>
        <v>0</v>
      </c>
      <c r="G56" s="74"/>
      <c r="H56" s="72"/>
      <c r="I56" s="73">
        <f t="shared" si="3"/>
        <v>0</v>
      </c>
      <c r="J56" s="75">
        <v>255</v>
      </c>
      <c r="K56" s="74">
        <v>255</v>
      </c>
      <c r="L56" s="76">
        <f t="shared" si="4"/>
        <v>0</v>
      </c>
      <c r="M56" s="74">
        <v>0</v>
      </c>
      <c r="N56" s="77">
        <v>0</v>
      </c>
      <c r="O56" s="73">
        <f t="shared" si="5"/>
        <v>0</v>
      </c>
      <c r="P56" s="78">
        <v>29889.4</v>
      </c>
      <c r="Q56" s="72">
        <f t="shared" si="6"/>
        <v>29889.4</v>
      </c>
      <c r="R56" s="76">
        <f t="shared" si="7"/>
        <v>0</v>
      </c>
      <c r="S56" s="75">
        <f>27+33+166.5+63.9</f>
        <v>290.39999999999998</v>
      </c>
      <c r="T56" s="74">
        <f>27+33+166.5+63.9</f>
        <v>290.39999999999998</v>
      </c>
      <c r="U56" s="73">
        <f t="shared" si="8"/>
        <v>0</v>
      </c>
      <c r="V56" s="71">
        <f t="shared" si="18"/>
        <v>28683.9</v>
      </c>
      <c r="W56" s="72">
        <f t="shared" si="18"/>
        <v>28683.9</v>
      </c>
      <c r="X56" s="73">
        <f t="shared" si="10"/>
        <v>0</v>
      </c>
      <c r="Y56" s="75">
        <f>24274.5+150</f>
        <v>24424.5</v>
      </c>
      <c r="Z56" s="74">
        <f>24274.5+150</f>
        <v>24424.5</v>
      </c>
      <c r="AA56" s="73">
        <f t="shared" si="11"/>
        <v>0</v>
      </c>
      <c r="AB56" s="71">
        <v>4210.4000000000015</v>
      </c>
      <c r="AC56" s="72">
        <v>4210.4000000000015</v>
      </c>
      <c r="AD56" s="73">
        <f t="shared" si="12"/>
        <v>0</v>
      </c>
      <c r="AE56" s="71"/>
      <c r="AF56" s="72"/>
      <c r="AG56" s="73">
        <f t="shared" si="13"/>
        <v>0</v>
      </c>
      <c r="AH56" s="75">
        <v>49</v>
      </c>
      <c r="AI56" s="74">
        <v>49</v>
      </c>
      <c r="AJ56" s="73">
        <f t="shared" si="14"/>
        <v>0</v>
      </c>
      <c r="AL56" s="79"/>
      <c r="AM56" s="79"/>
    </row>
    <row r="57" spans="1:39" ht="26.25" customHeight="1">
      <c r="A57" s="68">
        <v>37</v>
      </c>
      <c r="B57" s="80" t="s">
        <v>173</v>
      </c>
      <c r="C57" s="70">
        <v>913.9</v>
      </c>
      <c r="D57" s="71">
        <f t="shared" si="16"/>
        <v>6743</v>
      </c>
      <c r="E57" s="72">
        <f t="shared" si="17"/>
        <v>6743</v>
      </c>
      <c r="F57" s="73">
        <f t="shared" si="2"/>
        <v>0</v>
      </c>
      <c r="G57" s="74"/>
      <c r="H57" s="72"/>
      <c r="I57" s="73">
        <f t="shared" si="3"/>
        <v>0</v>
      </c>
      <c r="J57" s="75">
        <v>0</v>
      </c>
      <c r="K57" s="74">
        <v>0</v>
      </c>
      <c r="L57" s="76">
        <f t="shared" si="4"/>
        <v>0</v>
      </c>
      <c r="M57" s="74">
        <v>0</v>
      </c>
      <c r="N57" s="77">
        <v>0</v>
      </c>
      <c r="O57" s="73">
        <f t="shared" si="5"/>
        <v>0</v>
      </c>
      <c r="P57" s="78">
        <v>6717.7</v>
      </c>
      <c r="Q57" s="72">
        <f t="shared" si="6"/>
        <v>6717.7</v>
      </c>
      <c r="R57" s="76">
        <f t="shared" si="7"/>
        <v>0</v>
      </c>
      <c r="S57" s="75">
        <f>12+6+7.3</f>
        <v>25.3</v>
      </c>
      <c r="T57" s="74">
        <f>12+6+7.3</f>
        <v>25.3</v>
      </c>
      <c r="U57" s="73">
        <f t="shared" si="8"/>
        <v>0</v>
      </c>
      <c r="V57" s="71">
        <f t="shared" si="18"/>
        <v>6746.1</v>
      </c>
      <c r="W57" s="72">
        <f t="shared" si="18"/>
        <v>6746.1</v>
      </c>
      <c r="X57" s="73">
        <f t="shared" si="10"/>
        <v>0</v>
      </c>
      <c r="Y57" s="75">
        <v>5591.4</v>
      </c>
      <c r="Z57" s="74">
        <v>5591.4</v>
      </c>
      <c r="AA57" s="73">
        <f t="shared" si="11"/>
        <v>0</v>
      </c>
      <c r="AB57" s="71">
        <v>1154.7000000000007</v>
      </c>
      <c r="AC57" s="72">
        <v>1154.7000000000007</v>
      </c>
      <c r="AD57" s="73">
        <f t="shared" si="12"/>
        <v>0</v>
      </c>
      <c r="AE57" s="71"/>
      <c r="AF57" s="72"/>
      <c r="AG57" s="73">
        <f t="shared" si="13"/>
        <v>0</v>
      </c>
      <c r="AH57" s="75">
        <v>0</v>
      </c>
      <c r="AI57" s="74">
        <v>0</v>
      </c>
      <c r="AJ57" s="73">
        <f t="shared" si="14"/>
        <v>0</v>
      </c>
      <c r="AL57" s="79"/>
      <c r="AM57" s="79"/>
    </row>
    <row r="58" spans="1:39" ht="26.25" customHeight="1">
      <c r="A58" s="68">
        <v>38</v>
      </c>
      <c r="B58" s="80" t="s">
        <v>59</v>
      </c>
      <c r="C58" s="70">
        <v>1478.8</v>
      </c>
      <c r="D58" s="71">
        <f t="shared" si="16"/>
        <v>11044.3</v>
      </c>
      <c r="E58" s="72">
        <f t="shared" si="17"/>
        <v>11044.3</v>
      </c>
      <c r="F58" s="73">
        <f t="shared" si="2"/>
        <v>0</v>
      </c>
      <c r="G58" s="74"/>
      <c r="H58" s="72"/>
      <c r="I58" s="73">
        <f t="shared" si="3"/>
        <v>0</v>
      </c>
      <c r="J58" s="75">
        <v>0</v>
      </c>
      <c r="K58" s="74">
        <v>0</v>
      </c>
      <c r="L58" s="76">
        <f t="shared" si="4"/>
        <v>0</v>
      </c>
      <c r="M58" s="74">
        <v>0</v>
      </c>
      <c r="N58" s="77">
        <v>0</v>
      </c>
      <c r="O58" s="73">
        <f t="shared" si="5"/>
        <v>0</v>
      </c>
      <c r="P58" s="78">
        <v>11023.3</v>
      </c>
      <c r="Q58" s="72">
        <f t="shared" si="6"/>
        <v>11023.3</v>
      </c>
      <c r="R58" s="76">
        <f t="shared" si="7"/>
        <v>0</v>
      </c>
      <c r="S58" s="75">
        <v>21</v>
      </c>
      <c r="T58" s="74">
        <v>21</v>
      </c>
      <c r="U58" s="73">
        <f t="shared" si="8"/>
        <v>0</v>
      </c>
      <c r="V58" s="71">
        <f t="shared" si="18"/>
        <v>10508</v>
      </c>
      <c r="W58" s="72">
        <f t="shared" si="18"/>
        <v>10508</v>
      </c>
      <c r="X58" s="73">
        <f t="shared" si="10"/>
        <v>0</v>
      </c>
      <c r="Y58" s="75">
        <v>9488</v>
      </c>
      <c r="Z58" s="74">
        <v>9488</v>
      </c>
      <c r="AA58" s="73">
        <f t="shared" si="11"/>
        <v>0</v>
      </c>
      <c r="AB58" s="71">
        <v>1020</v>
      </c>
      <c r="AC58" s="72">
        <v>1020</v>
      </c>
      <c r="AD58" s="73">
        <f t="shared" si="12"/>
        <v>0</v>
      </c>
      <c r="AE58" s="71"/>
      <c r="AF58" s="72"/>
      <c r="AG58" s="73">
        <f t="shared" si="13"/>
        <v>0</v>
      </c>
      <c r="AH58" s="75">
        <v>0</v>
      </c>
      <c r="AI58" s="74">
        <v>0</v>
      </c>
      <c r="AJ58" s="73">
        <f t="shared" si="14"/>
        <v>0</v>
      </c>
      <c r="AL58" s="79"/>
      <c r="AM58" s="79"/>
    </row>
    <row r="59" spans="1:39" ht="26.25" customHeight="1">
      <c r="A59" s="68">
        <v>39</v>
      </c>
      <c r="B59" s="80" t="s">
        <v>174</v>
      </c>
      <c r="C59" s="70">
        <v>6432</v>
      </c>
      <c r="D59" s="71">
        <f t="shared" si="16"/>
        <v>15564.4</v>
      </c>
      <c r="E59" s="72">
        <f t="shared" si="17"/>
        <v>15564.4</v>
      </c>
      <c r="F59" s="73">
        <f t="shared" si="2"/>
        <v>0</v>
      </c>
      <c r="G59" s="74"/>
      <c r="H59" s="72"/>
      <c r="I59" s="73">
        <f t="shared" si="3"/>
        <v>0</v>
      </c>
      <c r="J59" s="75">
        <v>0</v>
      </c>
      <c r="K59" s="74">
        <v>0</v>
      </c>
      <c r="L59" s="76">
        <f t="shared" si="4"/>
        <v>0</v>
      </c>
      <c r="M59" s="74">
        <v>0</v>
      </c>
      <c r="N59" s="77">
        <v>0</v>
      </c>
      <c r="O59" s="73">
        <f t="shared" si="5"/>
        <v>0</v>
      </c>
      <c r="P59" s="78">
        <v>13882.3</v>
      </c>
      <c r="Q59" s="72">
        <f t="shared" si="6"/>
        <v>13882.3</v>
      </c>
      <c r="R59" s="76">
        <f t="shared" si="7"/>
        <v>0</v>
      </c>
      <c r="S59" s="75">
        <f>26+1642.1+14</f>
        <v>1682.1</v>
      </c>
      <c r="T59" s="74">
        <f>26+1642.1+14</f>
        <v>1682.1</v>
      </c>
      <c r="U59" s="73">
        <f t="shared" si="8"/>
        <v>0</v>
      </c>
      <c r="V59" s="71">
        <f t="shared" si="18"/>
        <v>20494.7</v>
      </c>
      <c r="W59" s="72">
        <f t="shared" si="18"/>
        <v>20494.7</v>
      </c>
      <c r="X59" s="73">
        <f t="shared" si="10"/>
        <v>0</v>
      </c>
      <c r="Y59" s="75">
        <v>16848.900000000001</v>
      </c>
      <c r="Z59" s="74">
        <v>16848.900000000001</v>
      </c>
      <c r="AA59" s="73">
        <f t="shared" si="11"/>
        <v>0</v>
      </c>
      <c r="AB59" s="71">
        <v>3645.7999999999993</v>
      </c>
      <c r="AC59" s="72">
        <v>3645.7999999999993</v>
      </c>
      <c r="AD59" s="73">
        <f t="shared" si="12"/>
        <v>0</v>
      </c>
      <c r="AE59" s="71"/>
      <c r="AF59" s="72"/>
      <c r="AG59" s="73">
        <f t="shared" si="13"/>
        <v>0</v>
      </c>
      <c r="AH59" s="75">
        <v>0</v>
      </c>
      <c r="AI59" s="74">
        <v>0</v>
      </c>
      <c r="AJ59" s="73">
        <f t="shared" si="14"/>
        <v>0</v>
      </c>
      <c r="AL59" s="79"/>
      <c r="AM59" s="79"/>
    </row>
    <row r="60" spans="1:39" ht="26.25" customHeight="1">
      <c r="A60" s="68">
        <v>41</v>
      </c>
      <c r="B60" s="69" t="s">
        <v>48</v>
      </c>
      <c r="C60" s="70">
        <v>4815.8</v>
      </c>
      <c r="D60" s="71">
        <f t="shared" si="16"/>
        <v>17736.5</v>
      </c>
      <c r="E60" s="72">
        <f t="shared" si="17"/>
        <v>17736.5</v>
      </c>
      <c r="F60" s="73">
        <f>D60-E60</f>
        <v>0</v>
      </c>
      <c r="G60" s="74"/>
      <c r="H60" s="72"/>
      <c r="I60" s="73">
        <f>G60-H60</f>
        <v>0</v>
      </c>
      <c r="J60" s="75">
        <v>0</v>
      </c>
      <c r="K60" s="74">
        <v>0</v>
      </c>
      <c r="L60" s="76">
        <f>J60-K60</f>
        <v>0</v>
      </c>
      <c r="M60" s="74">
        <v>0</v>
      </c>
      <c r="N60" s="77">
        <v>0</v>
      </c>
      <c r="O60" s="73">
        <f>M60-N60</f>
        <v>0</v>
      </c>
      <c r="P60" s="78">
        <v>17715.5</v>
      </c>
      <c r="Q60" s="72">
        <f t="shared" si="6"/>
        <v>17715.5</v>
      </c>
      <c r="R60" s="76">
        <f>P60-Q60</f>
        <v>0</v>
      </c>
      <c r="S60" s="75">
        <v>21</v>
      </c>
      <c r="T60" s="74">
        <v>21</v>
      </c>
      <c r="U60" s="73">
        <f>S60-T60</f>
        <v>0</v>
      </c>
      <c r="V60" s="71">
        <f t="shared" si="18"/>
        <v>15802.5</v>
      </c>
      <c r="W60" s="72">
        <f t="shared" si="18"/>
        <v>15802.5</v>
      </c>
      <c r="X60" s="73">
        <f>V60-W60</f>
        <v>0</v>
      </c>
      <c r="Y60" s="75">
        <v>13990.3</v>
      </c>
      <c r="Z60" s="74">
        <v>13990.3</v>
      </c>
      <c r="AA60" s="73">
        <f>Y60-Z60</f>
        <v>0</v>
      </c>
      <c r="AB60" s="71">
        <v>1812.2000000000007</v>
      </c>
      <c r="AC60" s="72">
        <v>1812.2000000000007</v>
      </c>
      <c r="AD60" s="73">
        <f>AB60-AC60</f>
        <v>0</v>
      </c>
      <c r="AE60" s="71"/>
      <c r="AF60" s="72"/>
      <c r="AG60" s="73">
        <f>AE60-AF60</f>
        <v>0</v>
      </c>
      <c r="AH60" s="75">
        <v>0</v>
      </c>
      <c r="AI60" s="74">
        <v>0</v>
      </c>
      <c r="AJ60" s="73">
        <f>AH60-AI60</f>
        <v>0</v>
      </c>
      <c r="AL60" s="79"/>
      <c r="AM60" s="79"/>
    </row>
    <row r="61" spans="1:39" ht="26.25" customHeight="1">
      <c r="A61" s="68">
        <v>42</v>
      </c>
      <c r="B61" s="80" t="s">
        <v>119</v>
      </c>
      <c r="C61" s="70">
        <v>11031.3</v>
      </c>
      <c r="D61" s="71">
        <f t="shared" si="16"/>
        <v>24511.200000000001</v>
      </c>
      <c r="E61" s="72">
        <f t="shared" si="17"/>
        <v>24511.200000000001</v>
      </c>
      <c r="F61" s="73">
        <f>D61-E61</f>
        <v>0</v>
      </c>
      <c r="G61" s="74"/>
      <c r="H61" s="72"/>
      <c r="I61" s="73">
        <f>G61-H61</f>
        <v>0</v>
      </c>
      <c r="J61" s="75">
        <v>0</v>
      </c>
      <c r="K61" s="74">
        <v>0</v>
      </c>
      <c r="L61" s="76">
        <f>J61-K61</f>
        <v>0</v>
      </c>
      <c r="M61" s="74">
        <v>0</v>
      </c>
      <c r="N61" s="77">
        <v>0</v>
      </c>
      <c r="O61" s="73">
        <f>M61-N61</f>
        <v>0</v>
      </c>
      <c r="P61" s="78">
        <v>24371.7</v>
      </c>
      <c r="Q61" s="72">
        <f t="shared" si="6"/>
        <v>24371.7</v>
      </c>
      <c r="R61" s="76">
        <f>P61-Q61</f>
        <v>0</v>
      </c>
      <c r="S61" s="75">
        <f>25+114.5</f>
        <v>139.5</v>
      </c>
      <c r="T61" s="74">
        <f>25+114.5</f>
        <v>139.5</v>
      </c>
      <c r="U61" s="73">
        <f>S61-T61</f>
        <v>0</v>
      </c>
      <c r="V61" s="71">
        <f t="shared" si="18"/>
        <v>27992.799999999999</v>
      </c>
      <c r="W61" s="72">
        <f t="shared" si="18"/>
        <v>27992.799999999999</v>
      </c>
      <c r="X61" s="73">
        <f>V61-W61</f>
        <v>0</v>
      </c>
      <c r="Y61" s="75">
        <v>22815.599999999999</v>
      </c>
      <c r="Z61" s="74">
        <v>22815.599999999999</v>
      </c>
      <c r="AA61" s="73">
        <f>Y61-Z61</f>
        <v>0</v>
      </c>
      <c r="AB61" s="71">
        <v>5177.2000000000007</v>
      </c>
      <c r="AC61" s="72">
        <v>5177.2000000000007</v>
      </c>
      <c r="AD61" s="73">
        <f>AB61-AC61</f>
        <v>0</v>
      </c>
      <c r="AE61" s="71"/>
      <c r="AF61" s="72"/>
      <c r="AG61" s="73">
        <f>AE61-AF61</f>
        <v>0</v>
      </c>
      <c r="AH61" s="75">
        <v>0</v>
      </c>
      <c r="AI61" s="74">
        <v>0</v>
      </c>
      <c r="AJ61" s="73">
        <f>AH61-AI61</f>
        <v>0</v>
      </c>
      <c r="AL61" s="79"/>
      <c r="AM61" s="79"/>
    </row>
    <row r="62" spans="1:39" ht="26.25" customHeight="1">
      <c r="A62" s="68">
        <v>43</v>
      </c>
      <c r="B62" s="80" t="s">
        <v>49</v>
      </c>
      <c r="C62" s="70">
        <v>6713.5</v>
      </c>
      <c r="D62" s="71">
        <f t="shared" si="16"/>
        <v>26319.399999999998</v>
      </c>
      <c r="E62" s="72">
        <f t="shared" si="17"/>
        <v>26319.399999999998</v>
      </c>
      <c r="F62" s="73">
        <f>D62-E62</f>
        <v>0</v>
      </c>
      <c r="G62" s="74"/>
      <c r="H62" s="72"/>
      <c r="I62" s="73">
        <f>G62-H62</f>
        <v>0</v>
      </c>
      <c r="J62" s="75">
        <v>124</v>
      </c>
      <c r="K62" s="74">
        <v>124</v>
      </c>
      <c r="L62" s="76">
        <f>J62-K62</f>
        <v>0</v>
      </c>
      <c r="M62" s="74">
        <v>0</v>
      </c>
      <c r="N62" s="77">
        <v>0</v>
      </c>
      <c r="O62" s="73">
        <f>M62-N62</f>
        <v>0</v>
      </c>
      <c r="P62" s="78">
        <v>26178.799999999999</v>
      </c>
      <c r="Q62" s="72">
        <f t="shared" si="6"/>
        <v>26178.799999999999</v>
      </c>
      <c r="R62" s="76">
        <f>P62-Q62</f>
        <v>0</v>
      </c>
      <c r="S62" s="75">
        <v>16.600000000000001</v>
      </c>
      <c r="T62" s="74">
        <v>16.600000000000001</v>
      </c>
      <c r="U62" s="73">
        <f>S62-T62</f>
        <v>0</v>
      </c>
      <c r="V62" s="71">
        <f t="shared" si="18"/>
        <v>30092.7</v>
      </c>
      <c r="W62" s="72">
        <f t="shared" si="18"/>
        <v>30092.7</v>
      </c>
      <c r="X62" s="73">
        <f>V62-W62</f>
        <v>0</v>
      </c>
      <c r="Y62" s="75">
        <v>28003.599999999999</v>
      </c>
      <c r="Z62" s="74">
        <v>28003.599999999999</v>
      </c>
      <c r="AA62" s="73">
        <f>Y62-Z62</f>
        <v>0</v>
      </c>
      <c r="AB62" s="71">
        <v>2089.1000000000022</v>
      </c>
      <c r="AC62" s="72">
        <v>2089.1000000000022</v>
      </c>
      <c r="AD62" s="73">
        <f>AB62-AC62</f>
        <v>0</v>
      </c>
      <c r="AE62" s="71"/>
      <c r="AF62" s="72"/>
      <c r="AG62" s="73">
        <f>AE62-AF62</f>
        <v>0</v>
      </c>
      <c r="AH62" s="75">
        <v>0</v>
      </c>
      <c r="AI62" s="74">
        <v>0</v>
      </c>
      <c r="AJ62" s="73">
        <f>AH62-AI62</f>
        <v>0</v>
      </c>
      <c r="AL62" s="79"/>
      <c r="AM62" s="79"/>
    </row>
    <row r="63" spans="1:39" ht="26.25" customHeight="1">
      <c r="A63" s="68">
        <v>44</v>
      </c>
      <c r="B63" s="80" t="s">
        <v>120</v>
      </c>
      <c r="C63" s="70">
        <v>4065.3</v>
      </c>
      <c r="D63" s="71">
        <f t="shared" si="16"/>
        <v>14136.2</v>
      </c>
      <c r="E63" s="72">
        <f t="shared" si="17"/>
        <v>14136.2</v>
      </c>
      <c r="F63" s="73">
        <f>D63-E63</f>
        <v>0</v>
      </c>
      <c r="G63" s="74"/>
      <c r="H63" s="72"/>
      <c r="I63" s="73">
        <f>G63-H63</f>
        <v>0</v>
      </c>
      <c r="J63" s="75">
        <v>274.5</v>
      </c>
      <c r="K63" s="74">
        <v>274.5</v>
      </c>
      <c r="L63" s="76">
        <f>J63-K63</f>
        <v>0</v>
      </c>
      <c r="M63" s="74">
        <v>0</v>
      </c>
      <c r="N63" s="77">
        <v>0</v>
      </c>
      <c r="O63" s="73">
        <f>M63-N63</f>
        <v>0</v>
      </c>
      <c r="P63" s="78">
        <v>13852.2</v>
      </c>
      <c r="Q63" s="72">
        <f t="shared" si="6"/>
        <v>13852.2</v>
      </c>
      <c r="R63" s="76">
        <f>P63-Q63</f>
        <v>0</v>
      </c>
      <c r="S63" s="75">
        <v>9.5</v>
      </c>
      <c r="T63" s="74">
        <v>9.5</v>
      </c>
      <c r="U63" s="73">
        <f>S63-T63</f>
        <v>0</v>
      </c>
      <c r="V63" s="71">
        <f t="shared" si="18"/>
        <v>15358</v>
      </c>
      <c r="W63" s="72">
        <f t="shared" si="18"/>
        <v>15358</v>
      </c>
      <c r="X63" s="73">
        <f>V63-W63</f>
        <v>0</v>
      </c>
      <c r="Y63" s="75">
        <v>11387</v>
      </c>
      <c r="Z63" s="74">
        <v>11387</v>
      </c>
      <c r="AA63" s="73">
        <f>Y63-Z63</f>
        <v>0</v>
      </c>
      <c r="AB63" s="71">
        <v>3924.6000000000004</v>
      </c>
      <c r="AC63" s="72">
        <v>3924.6000000000004</v>
      </c>
      <c r="AD63" s="73">
        <f>AB63-AC63</f>
        <v>0</v>
      </c>
      <c r="AE63" s="71"/>
      <c r="AF63" s="72"/>
      <c r="AG63" s="73">
        <f>AE63-AF63</f>
        <v>0</v>
      </c>
      <c r="AH63" s="75">
        <v>46.4</v>
      </c>
      <c r="AI63" s="74">
        <v>46.4</v>
      </c>
      <c r="AJ63" s="73">
        <f>AH63-AI63</f>
        <v>0</v>
      </c>
      <c r="AL63" s="79"/>
      <c r="AM63" s="79"/>
    </row>
    <row r="64" spans="1:39" ht="26.25" customHeight="1">
      <c r="A64" s="68">
        <v>45</v>
      </c>
      <c r="B64" s="80" t="s">
        <v>121</v>
      </c>
      <c r="C64" s="83">
        <v>11759.9</v>
      </c>
      <c r="D64" s="71">
        <f t="shared" si="16"/>
        <v>35602.700000000004</v>
      </c>
      <c r="E64" s="72">
        <f t="shared" si="17"/>
        <v>35602.700000000004</v>
      </c>
      <c r="F64" s="73">
        <f>D64-E64</f>
        <v>0</v>
      </c>
      <c r="G64" s="84"/>
      <c r="H64" s="72"/>
      <c r="I64" s="73">
        <f>G64-H64</f>
        <v>0</v>
      </c>
      <c r="J64" s="85">
        <v>0</v>
      </c>
      <c r="K64" s="84">
        <v>0</v>
      </c>
      <c r="L64" s="76">
        <f>J64-K64</f>
        <v>0</v>
      </c>
      <c r="M64" s="84">
        <v>0</v>
      </c>
      <c r="N64" s="86">
        <v>0</v>
      </c>
      <c r="O64" s="73">
        <f>M64-N64</f>
        <v>0</v>
      </c>
      <c r="P64" s="78">
        <v>35525.300000000003</v>
      </c>
      <c r="Q64" s="72">
        <f t="shared" si="6"/>
        <v>35525.300000000003</v>
      </c>
      <c r="R64" s="76">
        <f>P64-Q64</f>
        <v>0</v>
      </c>
      <c r="S64" s="85">
        <f>18+59.4</f>
        <v>77.400000000000006</v>
      </c>
      <c r="T64" s="84">
        <f>18+59.4</f>
        <v>77.400000000000006</v>
      </c>
      <c r="U64" s="73">
        <f>S64-T64</f>
        <v>0</v>
      </c>
      <c r="V64" s="71">
        <f t="shared" si="18"/>
        <v>45381.7</v>
      </c>
      <c r="W64" s="72">
        <f t="shared" si="18"/>
        <v>45381.7</v>
      </c>
      <c r="X64" s="73">
        <f>V64-W64</f>
        <v>0</v>
      </c>
      <c r="Y64" s="85">
        <v>36434.300000000003</v>
      </c>
      <c r="Z64" s="84">
        <v>36434.300000000003</v>
      </c>
      <c r="AA64" s="73">
        <f>Y64-Z64</f>
        <v>0</v>
      </c>
      <c r="AB64" s="71">
        <v>7962.3999999999942</v>
      </c>
      <c r="AC64" s="72">
        <v>7962.3999999999942</v>
      </c>
      <c r="AD64" s="73">
        <f>AB64-AC64</f>
        <v>0</v>
      </c>
      <c r="AE64" s="71"/>
      <c r="AF64" s="72"/>
      <c r="AG64" s="73">
        <f>AE64-AF64</f>
        <v>0</v>
      </c>
      <c r="AH64" s="85">
        <v>985</v>
      </c>
      <c r="AI64" s="84">
        <v>985</v>
      </c>
      <c r="AJ64" s="73">
        <f>AH64-AI64</f>
        <v>0</v>
      </c>
      <c r="AL64" s="79"/>
      <c r="AM64" s="79"/>
    </row>
    <row r="65" spans="1:39" ht="27" customHeight="1">
      <c r="A65" s="68">
        <v>46</v>
      </c>
      <c r="B65" s="69" t="s">
        <v>122</v>
      </c>
      <c r="C65" s="83">
        <v>15543.4</v>
      </c>
      <c r="D65" s="71">
        <f t="shared" si="16"/>
        <v>27241.899999999998</v>
      </c>
      <c r="E65" s="72">
        <f t="shared" si="17"/>
        <v>27241.899999999998</v>
      </c>
      <c r="F65" s="73">
        <f t="shared" ref="F65:F83" si="19">D65-E65</f>
        <v>0</v>
      </c>
      <c r="G65" s="84"/>
      <c r="H65" s="72"/>
      <c r="I65" s="73">
        <f t="shared" ref="I65:I83" si="20">G65-H65</f>
        <v>0</v>
      </c>
      <c r="J65" s="85">
        <v>0</v>
      </c>
      <c r="K65" s="84">
        <v>0</v>
      </c>
      <c r="L65" s="76">
        <f t="shared" ref="L65:L83" si="21">J65-K65</f>
        <v>0</v>
      </c>
      <c r="M65" s="84">
        <v>0</v>
      </c>
      <c r="N65" s="86">
        <v>0</v>
      </c>
      <c r="O65" s="73">
        <f t="shared" ref="O65:O83" si="22">M65-N65</f>
        <v>0</v>
      </c>
      <c r="P65" s="87">
        <v>27194.3</v>
      </c>
      <c r="Q65" s="72">
        <f t="shared" si="6"/>
        <v>27194.3</v>
      </c>
      <c r="R65" s="76">
        <f t="shared" ref="R65:R83" si="23">P65-Q65</f>
        <v>0</v>
      </c>
      <c r="S65" s="85">
        <f>30+17.6</f>
        <v>47.6</v>
      </c>
      <c r="T65" s="84">
        <f>30+17.6</f>
        <v>47.6</v>
      </c>
      <c r="U65" s="73">
        <f t="shared" ref="U65:U83" si="24">S65-T65</f>
        <v>0</v>
      </c>
      <c r="V65" s="71">
        <f t="shared" si="18"/>
        <v>34776.1</v>
      </c>
      <c r="W65" s="72">
        <f t="shared" si="18"/>
        <v>34776.1</v>
      </c>
      <c r="X65" s="73">
        <f t="shared" ref="X65:X83" si="25">V65-W65</f>
        <v>0</v>
      </c>
      <c r="Y65" s="85">
        <v>31949.5</v>
      </c>
      <c r="Z65" s="84">
        <v>31949.5</v>
      </c>
      <c r="AA65" s="73">
        <f t="shared" ref="AA65:AA83" si="26">Y65-Z65</f>
        <v>0</v>
      </c>
      <c r="AB65" s="71">
        <v>2826.5999999999985</v>
      </c>
      <c r="AC65" s="72">
        <v>2826.5999999999985</v>
      </c>
      <c r="AD65" s="73">
        <f t="shared" ref="AD65:AD83" si="27">AB65-AC65</f>
        <v>0</v>
      </c>
      <c r="AE65" s="71"/>
      <c r="AF65" s="72"/>
      <c r="AG65" s="73">
        <f t="shared" ref="AG65:AG83" si="28">AE65-AF65</f>
        <v>0</v>
      </c>
      <c r="AH65" s="85">
        <v>0</v>
      </c>
      <c r="AI65" s="84">
        <v>0</v>
      </c>
      <c r="AJ65" s="73">
        <f t="shared" ref="AJ65:AJ83" si="29">AH65-AI65</f>
        <v>0</v>
      </c>
      <c r="AL65" s="79"/>
      <c r="AM65" s="79"/>
    </row>
    <row r="66" spans="1:39" ht="27" customHeight="1">
      <c r="A66" s="68">
        <v>47</v>
      </c>
      <c r="B66" s="80" t="s">
        <v>123</v>
      </c>
      <c r="C66" s="83">
        <v>17513.099999999999</v>
      </c>
      <c r="D66" s="71">
        <f t="shared" si="16"/>
        <v>16889.8</v>
      </c>
      <c r="E66" s="72">
        <f t="shared" si="17"/>
        <v>16889.8</v>
      </c>
      <c r="F66" s="73">
        <f t="shared" si="19"/>
        <v>0</v>
      </c>
      <c r="G66" s="84"/>
      <c r="H66" s="72"/>
      <c r="I66" s="73">
        <f t="shared" si="20"/>
        <v>0</v>
      </c>
      <c r="J66" s="85">
        <v>0</v>
      </c>
      <c r="K66" s="84">
        <v>0</v>
      </c>
      <c r="L66" s="76">
        <f t="shared" si="21"/>
        <v>0</v>
      </c>
      <c r="M66" s="84">
        <v>0</v>
      </c>
      <c r="N66" s="86">
        <v>0</v>
      </c>
      <c r="O66" s="73">
        <f t="shared" si="22"/>
        <v>0</v>
      </c>
      <c r="P66" s="87">
        <v>16861.8</v>
      </c>
      <c r="Q66" s="72">
        <f t="shared" si="6"/>
        <v>16861.8</v>
      </c>
      <c r="R66" s="76">
        <f t="shared" si="23"/>
        <v>0</v>
      </c>
      <c r="S66" s="85">
        <v>28</v>
      </c>
      <c r="T66" s="84">
        <v>28</v>
      </c>
      <c r="U66" s="73">
        <f t="shared" si="24"/>
        <v>0</v>
      </c>
      <c r="V66" s="71">
        <f t="shared" si="18"/>
        <v>23471.3</v>
      </c>
      <c r="W66" s="72">
        <f t="shared" si="18"/>
        <v>23471.3</v>
      </c>
      <c r="X66" s="73">
        <f t="shared" si="25"/>
        <v>0</v>
      </c>
      <c r="Y66" s="85">
        <v>20375.7</v>
      </c>
      <c r="Z66" s="84">
        <v>20375.7</v>
      </c>
      <c r="AA66" s="73">
        <f t="shared" si="26"/>
        <v>0</v>
      </c>
      <c r="AB66" s="71">
        <v>3000.5999999999985</v>
      </c>
      <c r="AC66" s="72">
        <v>3000.5999999999985</v>
      </c>
      <c r="AD66" s="73">
        <f t="shared" si="27"/>
        <v>0</v>
      </c>
      <c r="AE66" s="71"/>
      <c r="AF66" s="72"/>
      <c r="AG66" s="73">
        <f t="shared" si="28"/>
        <v>0</v>
      </c>
      <c r="AH66" s="85">
        <v>95</v>
      </c>
      <c r="AI66" s="84">
        <v>95</v>
      </c>
      <c r="AJ66" s="73">
        <f t="shared" si="29"/>
        <v>0</v>
      </c>
      <c r="AL66" s="79"/>
      <c r="AM66" s="79"/>
    </row>
    <row r="67" spans="1:39" ht="27" customHeight="1">
      <c r="A67" s="68">
        <v>48</v>
      </c>
      <c r="B67" s="80" t="s">
        <v>50</v>
      </c>
      <c r="C67" s="83">
        <v>2276.6</v>
      </c>
      <c r="D67" s="71">
        <f t="shared" si="16"/>
        <v>6426.2</v>
      </c>
      <c r="E67" s="72">
        <f t="shared" si="17"/>
        <v>6426.2</v>
      </c>
      <c r="F67" s="73">
        <f t="shared" si="19"/>
        <v>0</v>
      </c>
      <c r="G67" s="84"/>
      <c r="H67" s="72"/>
      <c r="I67" s="73">
        <f t="shared" si="20"/>
        <v>0</v>
      </c>
      <c r="J67" s="75">
        <v>0</v>
      </c>
      <c r="K67" s="74">
        <v>0</v>
      </c>
      <c r="L67" s="76">
        <f t="shared" si="21"/>
        <v>0</v>
      </c>
      <c r="M67" s="74">
        <v>0</v>
      </c>
      <c r="N67" s="77">
        <v>0</v>
      </c>
      <c r="O67" s="73">
        <f t="shared" si="22"/>
        <v>0</v>
      </c>
      <c r="P67" s="78">
        <v>6408.8</v>
      </c>
      <c r="Q67" s="72">
        <f t="shared" si="6"/>
        <v>6408.8</v>
      </c>
      <c r="R67" s="76">
        <f t="shared" si="23"/>
        <v>0</v>
      </c>
      <c r="S67" s="75">
        <f>5.7+3+8.7</f>
        <v>17.399999999999999</v>
      </c>
      <c r="T67" s="74">
        <f>5.7+3+8.7</f>
        <v>17.399999999999999</v>
      </c>
      <c r="U67" s="73">
        <f t="shared" si="24"/>
        <v>0</v>
      </c>
      <c r="V67" s="71">
        <f t="shared" si="18"/>
        <v>6956.4</v>
      </c>
      <c r="W67" s="72">
        <f t="shared" si="18"/>
        <v>6956.4</v>
      </c>
      <c r="X67" s="73">
        <f t="shared" si="25"/>
        <v>0</v>
      </c>
      <c r="Y67" s="75">
        <v>6363.6</v>
      </c>
      <c r="Z67" s="74">
        <v>6363.6</v>
      </c>
      <c r="AA67" s="73">
        <f t="shared" si="26"/>
        <v>0</v>
      </c>
      <c r="AB67" s="71">
        <v>592.79999999999927</v>
      </c>
      <c r="AC67" s="72">
        <v>592.79999999999927</v>
      </c>
      <c r="AD67" s="73">
        <f t="shared" si="27"/>
        <v>0</v>
      </c>
      <c r="AE67" s="71"/>
      <c r="AF67" s="72"/>
      <c r="AG67" s="73">
        <f t="shared" si="28"/>
        <v>0</v>
      </c>
      <c r="AH67" s="75">
        <v>0</v>
      </c>
      <c r="AI67" s="74">
        <v>0</v>
      </c>
      <c r="AJ67" s="73">
        <f t="shared" si="29"/>
        <v>0</v>
      </c>
      <c r="AL67" s="79"/>
      <c r="AM67" s="79"/>
    </row>
    <row r="68" spans="1:39" ht="27" customHeight="1">
      <c r="A68" s="68">
        <v>49</v>
      </c>
      <c r="B68" s="80" t="s">
        <v>51</v>
      </c>
      <c r="C68" s="70">
        <v>10990.3</v>
      </c>
      <c r="D68" s="71">
        <f t="shared" si="16"/>
        <v>28884.3</v>
      </c>
      <c r="E68" s="72">
        <f t="shared" si="17"/>
        <v>28884.3</v>
      </c>
      <c r="F68" s="73">
        <f t="shared" si="19"/>
        <v>0</v>
      </c>
      <c r="G68" s="74"/>
      <c r="H68" s="72"/>
      <c r="I68" s="73">
        <f t="shared" si="20"/>
        <v>0</v>
      </c>
      <c r="J68" s="75">
        <v>0</v>
      </c>
      <c r="K68" s="74">
        <v>0</v>
      </c>
      <c r="L68" s="76">
        <f t="shared" si="21"/>
        <v>0</v>
      </c>
      <c r="M68" s="74">
        <v>0</v>
      </c>
      <c r="N68" s="77">
        <v>0</v>
      </c>
      <c r="O68" s="73">
        <f t="shared" si="22"/>
        <v>0</v>
      </c>
      <c r="P68" s="78">
        <v>28768.3</v>
      </c>
      <c r="Q68" s="72">
        <f t="shared" si="6"/>
        <v>28768.3</v>
      </c>
      <c r="R68" s="76">
        <f t="shared" si="23"/>
        <v>0</v>
      </c>
      <c r="S68" s="75">
        <f>90+6+10+10</f>
        <v>116</v>
      </c>
      <c r="T68" s="74">
        <f>90+6+10+10</f>
        <v>116</v>
      </c>
      <c r="U68" s="73">
        <f t="shared" si="24"/>
        <v>0</v>
      </c>
      <c r="V68" s="71">
        <f t="shared" si="18"/>
        <v>36435.4</v>
      </c>
      <c r="W68" s="72">
        <f t="shared" si="18"/>
        <v>36435.4</v>
      </c>
      <c r="X68" s="73">
        <f t="shared" si="25"/>
        <v>0</v>
      </c>
      <c r="Y68" s="75">
        <v>34096.699999999997</v>
      </c>
      <c r="Z68" s="74">
        <v>34096.699999999997</v>
      </c>
      <c r="AA68" s="73">
        <f t="shared" si="26"/>
        <v>0</v>
      </c>
      <c r="AB68" s="71">
        <v>2321.2000000000044</v>
      </c>
      <c r="AC68" s="72">
        <v>2321.2000000000044</v>
      </c>
      <c r="AD68" s="73">
        <f t="shared" si="27"/>
        <v>0</v>
      </c>
      <c r="AE68" s="71"/>
      <c r="AF68" s="72"/>
      <c r="AG68" s="73">
        <f t="shared" si="28"/>
        <v>0</v>
      </c>
      <c r="AH68" s="75">
        <v>17.5</v>
      </c>
      <c r="AI68" s="74">
        <v>17.5</v>
      </c>
      <c r="AJ68" s="73">
        <f t="shared" si="29"/>
        <v>0</v>
      </c>
      <c r="AL68" s="79"/>
      <c r="AM68" s="79"/>
    </row>
    <row r="69" spans="1:39" ht="27" customHeight="1">
      <c r="A69" s="68">
        <v>50</v>
      </c>
      <c r="B69" s="80" t="s">
        <v>52</v>
      </c>
      <c r="C69" s="70">
        <v>10335.4</v>
      </c>
      <c r="D69" s="71">
        <f t="shared" si="16"/>
        <v>19360.2</v>
      </c>
      <c r="E69" s="72">
        <f t="shared" si="17"/>
        <v>19360.2</v>
      </c>
      <c r="F69" s="73">
        <f t="shared" si="19"/>
        <v>0</v>
      </c>
      <c r="G69" s="74"/>
      <c r="H69" s="72"/>
      <c r="I69" s="73">
        <f t="shared" si="20"/>
        <v>0</v>
      </c>
      <c r="J69" s="75">
        <v>0</v>
      </c>
      <c r="K69" s="74">
        <v>0</v>
      </c>
      <c r="L69" s="76">
        <f t="shared" si="21"/>
        <v>0</v>
      </c>
      <c r="M69" s="74">
        <v>0</v>
      </c>
      <c r="N69" s="77">
        <v>0</v>
      </c>
      <c r="O69" s="73">
        <f t="shared" si="22"/>
        <v>0</v>
      </c>
      <c r="P69" s="78">
        <v>19349</v>
      </c>
      <c r="Q69" s="72">
        <f t="shared" si="6"/>
        <v>19349</v>
      </c>
      <c r="R69" s="76">
        <f t="shared" si="23"/>
        <v>0</v>
      </c>
      <c r="S69" s="75">
        <v>11.2</v>
      </c>
      <c r="T69" s="74">
        <v>11.2</v>
      </c>
      <c r="U69" s="73">
        <f t="shared" si="24"/>
        <v>0</v>
      </c>
      <c r="V69" s="71">
        <f t="shared" si="18"/>
        <v>22882</v>
      </c>
      <c r="W69" s="72">
        <f t="shared" si="18"/>
        <v>22882</v>
      </c>
      <c r="X69" s="73">
        <f t="shared" si="25"/>
        <v>0</v>
      </c>
      <c r="Y69" s="75">
        <v>21775.7</v>
      </c>
      <c r="Z69" s="74">
        <v>21775.7</v>
      </c>
      <c r="AA69" s="73">
        <f t="shared" si="26"/>
        <v>0</v>
      </c>
      <c r="AB69" s="71">
        <v>1104.7000000000007</v>
      </c>
      <c r="AC69" s="72">
        <v>1104.7000000000007</v>
      </c>
      <c r="AD69" s="73">
        <f t="shared" si="27"/>
        <v>0</v>
      </c>
      <c r="AE69" s="71"/>
      <c r="AF69" s="72"/>
      <c r="AG69" s="73">
        <f t="shared" si="28"/>
        <v>0</v>
      </c>
      <c r="AH69" s="75">
        <v>1.6</v>
      </c>
      <c r="AI69" s="74">
        <v>1.6</v>
      </c>
      <c r="AJ69" s="73">
        <f t="shared" si="29"/>
        <v>0</v>
      </c>
      <c r="AL69" s="79"/>
      <c r="AM69" s="79"/>
    </row>
    <row r="70" spans="1:39" ht="27" customHeight="1">
      <c r="A70" s="68">
        <v>51</v>
      </c>
      <c r="B70" s="80" t="s">
        <v>124</v>
      </c>
      <c r="C70" s="70">
        <v>4119.1000000000004</v>
      </c>
      <c r="D70" s="71">
        <f t="shared" si="16"/>
        <v>16225.1</v>
      </c>
      <c r="E70" s="72">
        <f t="shared" si="17"/>
        <v>16225.1</v>
      </c>
      <c r="F70" s="73">
        <f t="shared" si="19"/>
        <v>0</v>
      </c>
      <c r="G70" s="74"/>
      <c r="H70" s="72"/>
      <c r="I70" s="73">
        <f t="shared" si="20"/>
        <v>0</v>
      </c>
      <c r="J70" s="75">
        <v>0</v>
      </c>
      <c r="K70" s="74">
        <v>0</v>
      </c>
      <c r="L70" s="76">
        <f t="shared" si="21"/>
        <v>0</v>
      </c>
      <c r="M70" s="74">
        <v>0</v>
      </c>
      <c r="N70" s="77">
        <v>0</v>
      </c>
      <c r="O70" s="73">
        <f t="shared" si="22"/>
        <v>0</v>
      </c>
      <c r="P70" s="78">
        <v>16225.1</v>
      </c>
      <c r="Q70" s="72">
        <f t="shared" si="6"/>
        <v>16225.1</v>
      </c>
      <c r="R70" s="76">
        <f t="shared" si="23"/>
        <v>0</v>
      </c>
      <c r="S70" s="75">
        <v>0</v>
      </c>
      <c r="T70" s="74">
        <v>0</v>
      </c>
      <c r="U70" s="73">
        <f t="shared" si="24"/>
        <v>0</v>
      </c>
      <c r="V70" s="71">
        <f t="shared" si="18"/>
        <v>19182.599999999999</v>
      </c>
      <c r="W70" s="72">
        <f t="shared" si="18"/>
        <v>19182.599999999999</v>
      </c>
      <c r="X70" s="73">
        <f t="shared" si="25"/>
        <v>0</v>
      </c>
      <c r="Y70" s="75">
        <v>17502.7</v>
      </c>
      <c r="Z70" s="74">
        <v>17502.7</v>
      </c>
      <c r="AA70" s="73">
        <f t="shared" si="26"/>
        <v>0</v>
      </c>
      <c r="AB70" s="71">
        <v>1664.8999999999978</v>
      </c>
      <c r="AC70" s="72">
        <v>1664.8999999999978</v>
      </c>
      <c r="AD70" s="73">
        <f t="shared" si="27"/>
        <v>0</v>
      </c>
      <c r="AE70" s="71"/>
      <c r="AF70" s="72"/>
      <c r="AG70" s="73">
        <f t="shared" si="28"/>
        <v>0</v>
      </c>
      <c r="AH70" s="75">
        <v>15</v>
      </c>
      <c r="AI70" s="74">
        <v>15</v>
      </c>
      <c r="AJ70" s="73">
        <f t="shared" si="29"/>
        <v>0</v>
      </c>
      <c r="AL70" s="79"/>
      <c r="AM70" s="79"/>
    </row>
    <row r="71" spans="1:39" ht="27" customHeight="1">
      <c r="A71" s="68">
        <v>52</v>
      </c>
      <c r="B71" s="80" t="s">
        <v>53</v>
      </c>
      <c r="C71" s="70">
        <v>1184.9000000000001</v>
      </c>
      <c r="D71" s="71">
        <f t="shared" si="16"/>
        <v>6346.4000000000005</v>
      </c>
      <c r="E71" s="72">
        <f t="shared" si="17"/>
        <v>6346.4000000000005</v>
      </c>
      <c r="F71" s="73">
        <f t="shared" si="19"/>
        <v>0</v>
      </c>
      <c r="G71" s="74"/>
      <c r="H71" s="72"/>
      <c r="I71" s="73">
        <f t="shared" si="20"/>
        <v>0</v>
      </c>
      <c r="J71" s="75">
        <v>0</v>
      </c>
      <c r="K71" s="74">
        <v>0</v>
      </c>
      <c r="L71" s="76">
        <f t="shared" si="21"/>
        <v>0</v>
      </c>
      <c r="M71" s="74">
        <v>0</v>
      </c>
      <c r="N71" s="77">
        <v>0</v>
      </c>
      <c r="O71" s="73">
        <f t="shared" si="22"/>
        <v>0</v>
      </c>
      <c r="P71" s="78">
        <v>6281.6</v>
      </c>
      <c r="Q71" s="72">
        <f t="shared" si="6"/>
        <v>6281.6</v>
      </c>
      <c r="R71" s="76">
        <f t="shared" si="23"/>
        <v>0</v>
      </c>
      <c r="S71" s="75">
        <f>4.4+36+24.4</f>
        <v>64.8</v>
      </c>
      <c r="T71" s="74">
        <f>4.4+36+24.4</f>
        <v>64.8</v>
      </c>
      <c r="U71" s="73">
        <f t="shared" si="24"/>
        <v>0</v>
      </c>
      <c r="V71" s="71">
        <f t="shared" ref="V71:W83" si="30">Y71+AB71+AE71+AH71</f>
        <v>6744</v>
      </c>
      <c r="W71" s="72">
        <f t="shared" si="30"/>
        <v>6744</v>
      </c>
      <c r="X71" s="73">
        <f t="shared" si="25"/>
        <v>0</v>
      </c>
      <c r="Y71" s="75">
        <v>5618.9</v>
      </c>
      <c r="Z71" s="74">
        <v>5618.9</v>
      </c>
      <c r="AA71" s="73">
        <f t="shared" si="26"/>
        <v>0</v>
      </c>
      <c r="AB71" s="71">
        <v>1125.1000000000004</v>
      </c>
      <c r="AC71" s="72">
        <v>1125.1000000000004</v>
      </c>
      <c r="AD71" s="73">
        <f t="shared" si="27"/>
        <v>0</v>
      </c>
      <c r="AE71" s="71"/>
      <c r="AF71" s="72"/>
      <c r="AG71" s="73">
        <f t="shared" si="28"/>
        <v>0</v>
      </c>
      <c r="AH71" s="75">
        <v>0</v>
      </c>
      <c r="AI71" s="74">
        <v>0</v>
      </c>
      <c r="AJ71" s="73">
        <f t="shared" si="29"/>
        <v>0</v>
      </c>
      <c r="AL71" s="79"/>
      <c r="AM71" s="79"/>
    </row>
    <row r="72" spans="1:39" ht="27" customHeight="1">
      <c r="A72" s="68">
        <v>53</v>
      </c>
      <c r="B72" s="80" t="s">
        <v>125</v>
      </c>
      <c r="C72" s="70">
        <v>6447</v>
      </c>
      <c r="D72" s="71">
        <f t="shared" si="16"/>
        <v>22087.800000000003</v>
      </c>
      <c r="E72" s="72">
        <f t="shared" si="17"/>
        <v>22087.800000000003</v>
      </c>
      <c r="F72" s="73">
        <f t="shared" si="19"/>
        <v>0</v>
      </c>
      <c r="G72" s="74"/>
      <c r="H72" s="72"/>
      <c r="I72" s="73">
        <f t="shared" si="20"/>
        <v>0</v>
      </c>
      <c r="J72" s="75">
        <v>0</v>
      </c>
      <c r="K72" s="74">
        <v>0</v>
      </c>
      <c r="L72" s="76">
        <f t="shared" si="21"/>
        <v>0</v>
      </c>
      <c r="M72" s="74">
        <v>0</v>
      </c>
      <c r="N72" s="77">
        <v>0</v>
      </c>
      <c r="O72" s="73">
        <f t="shared" si="22"/>
        <v>0</v>
      </c>
      <c r="P72" s="78">
        <v>21986.400000000001</v>
      </c>
      <c r="Q72" s="72">
        <f t="shared" si="6"/>
        <v>21986.400000000001</v>
      </c>
      <c r="R72" s="76">
        <f t="shared" si="23"/>
        <v>0</v>
      </c>
      <c r="S72" s="75">
        <f>100.8+0.6</f>
        <v>101.39999999999999</v>
      </c>
      <c r="T72" s="74">
        <f>100.8+0.6</f>
        <v>101.39999999999999</v>
      </c>
      <c r="U72" s="73">
        <f t="shared" si="24"/>
        <v>0</v>
      </c>
      <c r="V72" s="71">
        <f t="shared" si="30"/>
        <v>21560.799999999999</v>
      </c>
      <c r="W72" s="72">
        <f t="shared" si="30"/>
        <v>21560.799999999999</v>
      </c>
      <c r="X72" s="73">
        <f t="shared" si="25"/>
        <v>0</v>
      </c>
      <c r="Y72" s="75">
        <v>17822.099999999999</v>
      </c>
      <c r="Z72" s="74">
        <v>17822.099999999999</v>
      </c>
      <c r="AA72" s="73">
        <f t="shared" si="26"/>
        <v>0</v>
      </c>
      <c r="AB72" s="71">
        <v>3738.7000000000007</v>
      </c>
      <c r="AC72" s="72">
        <v>3738.7000000000007</v>
      </c>
      <c r="AD72" s="73">
        <f t="shared" si="27"/>
        <v>0</v>
      </c>
      <c r="AE72" s="71"/>
      <c r="AF72" s="72"/>
      <c r="AG72" s="73">
        <f t="shared" si="28"/>
        <v>0</v>
      </c>
      <c r="AH72" s="75">
        <v>0</v>
      </c>
      <c r="AI72" s="74">
        <v>0</v>
      </c>
      <c r="AJ72" s="73">
        <f t="shared" si="29"/>
        <v>0</v>
      </c>
      <c r="AL72" s="79"/>
      <c r="AM72" s="79"/>
    </row>
    <row r="73" spans="1:39" ht="27" customHeight="1">
      <c r="A73" s="68">
        <v>54</v>
      </c>
      <c r="B73" s="80" t="s">
        <v>126</v>
      </c>
      <c r="C73" s="70">
        <v>9673.7000000000007</v>
      </c>
      <c r="D73" s="71">
        <f t="shared" si="16"/>
        <v>12793.4</v>
      </c>
      <c r="E73" s="72">
        <f t="shared" si="17"/>
        <v>12793.4</v>
      </c>
      <c r="F73" s="73">
        <f t="shared" si="19"/>
        <v>0</v>
      </c>
      <c r="G73" s="74"/>
      <c r="H73" s="72"/>
      <c r="I73" s="73">
        <f t="shared" si="20"/>
        <v>0</v>
      </c>
      <c r="J73" s="75">
        <v>0</v>
      </c>
      <c r="K73" s="74">
        <v>0</v>
      </c>
      <c r="L73" s="76">
        <f t="shared" si="21"/>
        <v>0</v>
      </c>
      <c r="M73" s="74">
        <v>0</v>
      </c>
      <c r="N73" s="77">
        <v>0</v>
      </c>
      <c r="O73" s="73">
        <f t="shared" si="22"/>
        <v>0</v>
      </c>
      <c r="P73" s="78">
        <v>12756.4</v>
      </c>
      <c r="Q73" s="72">
        <f t="shared" si="6"/>
        <v>12756.4</v>
      </c>
      <c r="R73" s="76">
        <f t="shared" si="23"/>
        <v>0</v>
      </c>
      <c r="S73" s="75">
        <f>30+7</f>
        <v>37</v>
      </c>
      <c r="T73" s="74">
        <f>30+7</f>
        <v>37</v>
      </c>
      <c r="U73" s="73">
        <f t="shared" si="24"/>
        <v>0</v>
      </c>
      <c r="V73" s="71">
        <f t="shared" si="30"/>
        <v>18096.099999999999</v>
      </c>
      <c r="W73" s="72">
        <f t="shared" si="30"/>
        <v>18096.099999999999</v>
      </c>
      <c r="X73" s="73">
        <f t="shared" si="25"/>
        <v>0</v>
      </c>
      <c r="Y73" s="75">
        <v>15753.5</v>
      </c>
      <c r="Z73" s="74">
        <v>15753.5</v>
      </c>
      <c r="AA73" s="73">
        <f t="shared" si="26"/>
        <v>0</v>
      </c>
      <c r="AB73" s="71">
        <v>2336.1999999999971</v>
      </c>
      <c r="AC73" s="72">
        <v>2336.1999999999971</v>
      </c>
      <c r="AD73" s="73">
        <f t="shared" si="27"/>
        <v>0</v>
      </c>
      <c r="AE73" s="71"/>
      <c r="AF73" s="72"/>
      <c r="AG73" s="73">
        <f t="shared" si="28"/>
        <v>0</v>
      </c>
      <c r="AH73" s="75">
        <v>6.4</v>
      </c>
      <c r="AI73" s="74">
        <v>6.4</v>
      </c>
      <c r="AJ73" s="73">
        <f t="shared" si="29"/>
        <v>0</v>
      </c>
      <c r="AL73" s="79"/>
      <c r="AM73" s="79"/>
    </row>
    <row r="74" spans="1:39" ht="27" customHeight="1">
      <c r="A74" s="68">
        <v>55</v>
      </c>
      <c r="B74" s="80" t="s">
        <v>54</v>
      </c>
      <c r="C74" s="70">
        <v>14297.2</v>
      </c>
      <c r="D74" s="71">
        <f t="shared" si="16"/>
        <v>12859.599999999999</v>
      </c>
      <c r="E74" s="72">
        <f t="shared" si="17"/>
        <v>12859.599999999999</v>
      </c>
      <c r="F74" s="73">
        <f t="shared" si="19"/>
        <v>0</v>
      </c>
      <c r="G74" s="74"/>
      <c r="H74" s="72"/>
      <c r="I74" s="73">
        <f t="shared" si="20"/>
        <v>0</v>
      </c>
      <c r="J74" s="75">
        <v>0</v>
      </c>
      <c r="K74" s="74">
        <v>0</v>
      </c>
      <c r="L74" s="76">
        <f t="shared" si="21"/>
        <v>0</v>
      </c>
      <c r="M74" s="74">
        <v>0</v>
      </c>
      <c r="N74" s="77">
        <v>0</v>
      </c>
      <c r="O74" s="73">
        <f t="shared" si="22"/>
        <v>0</v>
      </c>
      <c r="P74" s="78">
        <v>12857.3</v>
      </c>
      <c r="Q74" s="72">
        <f t="shared" si="6"/>
        <v>12857.3</v>
      </c>
      <c r="R74" s="76">
        <f t="shared" si="23"/>
        <v>0</v>
      </c>
      <c r="S74" s="75">
        <v>2.2999999999999998</v>
      </c>
      <c r="T74" s="74">
        <v>2.2999999999999998</v>
      </c>
      <c r="U74" s="73">
        <f t="shared" si="24"/>
        <v>0</v>
      </c>
      <c r="V74" s="71">
        <f t="shared" si="30"/>
        <v>18078.3</v>
      </c>
      <c r="W74" s="72">
        <f t="shared" si="30"/>
        <v>18078.3</v>
      </c>
      <c r="X74" s="73">
        <f t="shared" si="25"/>
        <v>0</v>
      </c>
      <c r="Y74" s="75">
        <v>15610.8</v>
      </c>
      <c r="Z74" s="74">
        <v>15610.8</v>
      </c>
      <c r="AA74" s="73">
        <f t="shared" si="26"/>
        <v>0</v>
      </c>
      <c r="AB74" s="71">
        <v>2467.5</v>
      </c>
      <c r="AC74" s="72">
        <v>2467.5</v>
      </c>
      <c r="AD74" s="73">
        <f t="shared" si="27"/>
        <v>0</v>
      </c>
      <c r="AE74" s="71"/>
      <c r="AF74" s="72"/>
      <c r="AG74" s="73">
        <f t="shared" si="28"/>
        <v>0</v>
      </c>
      <c r="AH74" s="75">
        <v>0</v>
      </c>
      <c r="AI74" s="74">
        <v>0</v>
      </c>
      <c r="AJ74" s="73">
        <f t="shared" si="29"/>
        <v>0</v>
      </c>
      <c r="AL74" s="79"/>
      <c r="AM74" s="79"/>
    </row>
    <row r="75" spans="1:39" ht="27" customHeight="1">
      <c r="A75" s="68">
        <v>56</v>
      </c>
      <c r="B75" s="80" t="s">
        <v>55</v>
      </c>
      <c r="C75" s="70">
        <v>1876</v>
      </c>
      <c r="D75" s="71">
        <f t="shared" si="16"/>
        <v>6179.3</v>
      </c>
      <c r="E75" s="72">
        <f t="shared" si="17"/>
        <v>6179.3</v>
      </c>
      <c r="F75" s="73">
        <f t="shared" si="19"/>
        <v>0</v>
      </c>
      <c r="G75" s="74"/>
      <c r="H75" s="72"/>
      <c r="I75" s="73">
        <f t="shared" si="20"/>
        <v>0</v>
      </c>
      <c r="J75" s="75">
        <v>0</v>
      </c>
      <c r="K75" s="74">
        <v>0</v>
      </c>
      <c r="L75" s="76">
        <f t="shared" si="21"/>
        <v>0</v>
      </c>
      <c r="M75" s="74">
        <v>0</v>
      </c>
      <c r="N75" s="77">
        <v>0</v>
      </c>
      <c r="O75" s="73">
        <f t="shared" si="22"/>
        <v>0</v>
      </c>
      <c r="P75" s="78">
        <v>6169</v>
      </c>
      <c r="Q75" s="72">
        <f>+P75</f>
        <v>6169</v>
      </c>
      <c r="R75" s="76">
        <f t="shared" si="23"/>
        <v>0</v>
      </c>
      <c r="S75" s="75">
        <v>10.3</v>
      </c>
      <c r="T75" s="74">
        <v>10.3</v>
      </c>
      <c r="U75" s="73">
        <f t="shared" si="24"/>
        <v>0</v>
      </c>
      <c r="V75" s="71">
        <f t="shared" si="30"/>
        <v>6981.9</v>
      </c>
      <c r="W75" s="72">
        <f t="shared" si="30"/>
        <v>6981.9</v>
      </c>
      <c r="X75" s="73">
        <f t="shared" si="25"/>
        <v>0</v>
      </c>
      <c r="Y75" s="75">
        <v>5426.7</v>
      </c>
      <c r="Z75" s="74">
        <v>5426.7</v>
      </c>
      <c r="AA75" s="73">
        <f t="shared" si="26"/>
        <v>0</v>
      </c>
      <c r="AB75" s="71">
        <v>1555.1999999999998</v>
      </c>
      <c r="AC75" s="72">
        <v>1555.1999999999998</v>
      </c>
      <c r="AD75" s="73">
        <f t="shared" si="27"/>
        <v>0</v>
      </c>
      <c r="AE75" s="71"/>
      <c r="AF75" s="72"/>
      <c r="AG75" s="73">
        <f t="shared" si="28"/>
        <v>0</v>
      </c>
      <c r="AH75" s="75">
        <v>0</v>
      </c>
      <c r="AI75" s="74">
        <v>0</v>
      </c>
      <c r="AJ75" s="73">
        <f t="shared" si="29"/>
        <v>0</v>
      </c>
      <c r="AL75" s="79"/>
      <c r="AM75" s="79"/>
    </row>
    <row r="76" spans="1:39" ht="27" customHeight="1">
      <c r="A76" s="68">
        <v>57</v>
      </c>
      <c r="B76" s="80" t="s">
        <v>127</v>
      </c>
      <c r="C76" s="70">
        <v>1272.2</v>
      </c>
      <c r="D76" s="71">
        <f t="shared" si="16"/>
        <v>7188.3</v>
      </c>
      <c r="E76" s="72">
        <f t="shared" si="17"/>
        <v>7188.3</v>
      </c>
      <c r="F76" s="73">
        <f t="shared" si="19"/>
        <v>0</v>
      </c>
      <c r="G76" s="74"/>
      <c r="H76" s="72"/>
      <c r="I76" s="73">
        <f t="shared" si="20"/>
        <v>0</v>
      </c>
      <c r="J76" s="75">
        <v>0</v>
      </c>
      <c r="K76" s="74">
        <v>0</v>
      </c>
      <c r="L76" s="76">
        <f t="shared" si="21"/>
        <v>0</v>
      </c>
      <c r="M76" s="74">
        <v>0</v>
      </c>
      <c r="N76" s="77">
        <v>0</v>
      </c>
      <c r="O76" s="73">
        <f t="shared" si="22"/>
        <v>0</v>
      </c>
      <c r="P76" s="78">
        <v>7169.5</v>
      </c>
      <c r="Q76" s="72">
        <f>+P76</f>
        <v>7169.5</v>
      </c>
      <c r="R76" s="76">
        <f t="shared" si="23"/>
        <v>0</v>
      </c>
      <c r="S76" s="75">
        <f>6.4+3+9.4</f>
        <v>18.8</v>
      </c>
      <c r="T76" s="74">
        <f>6.4+3+9.4</f>
        <v>18.8</v>
      </c>
      <c r="U76" s="73">
        <f t="shared" si="24"/>
        <v>0</v>
      </c>
      <c r="V76" s="71">
        <f t="shared" si="30"/>
        <v>7740.7</v>
      </c>
      <c r="W76" s="72">
        <f t="shared" si="30"/>
        <v>7740.7</v>
      </c>
      <c r="X76" s="73">
        <f t="shared" si="25"/>
        <v>0</v>
      </c>
      <c r="Y76" s="75">
        <v>6623.1</v>
      </c>
      <c r="Z76" s="74">
        <v>6623.1</v>
      </c>
      <c r="AA76" s="73">
        <f t="shared" si="26"/>
        <v>0</v>
      </c>
      <c r="AB76" s="71">
        <v>1117.5999999999995</v>
      </c>
      <c r="AC76" s="72">
        <v>1117.5999999999995</v>
      </c>
      <c r="AD76" s="73">
        <f t="shared" si="27"/>
        <v>0</v>
      </c>
      <c r="AE76" s="71"/>
      <c r="AF76" s="72"/>
      <c r="AG76" s="73">
        <f t="shared" si="28"/>
        <v>0</v>
      </c>
      <c r="AH76" s="75">
        <v>0</v>
      </c>
      <c r="AI76" s="74">
        <v>0</v>
      </c>
      <c r="AJ76" s="73">
        <f t="shared" si="29"/>
        <v>0</v>
      </c>
      <c r="AL76" s="79"/>
      <c r="AM76" s="79"/>
    </row>
    <row r="77" spans="1:39" ht="27" customHeight="1">
      <c r="A77" s="68">
        <v>58</v>
      </c>
      <c r="B77" s="80" t="s">
        <v>128</v>
      </c>
      <c r="C77" s="70">
        <v>316</v>
      </c>
      <c r="D77" s="71">
        <f t="shared" si="16"/>
        <v>8529.4</v>
      </c>
      <c r="E77" s="72">
        <f t="shared" si="17"/>
        <v>8529.4</v>
      </c>
      <c r="F77" s="73">
        <f t="shared" si="19"/>
        <v>0</v>
      </c>
      <c r="G77" s="74"/>
      <c r="H77" s="72"/>
      <c r="I77" s="73">
        <f t="shared" si="20"/>
        <v>0</v>
      </c>
      <c r="J77" s="75">
        <v>0</v>
      </c>
      <c r="K77" s="74">
        <v>0</v>
      </c>
      <c r="L77" s="76">
        <f t="shared" si="21"/>
        <v>0</v>
      </c>
      <c r="M77" s="74">
        <v>0</v>
      </c>
      <c r="N77" s="77">
        <v>0</v>
      </c>
      <c r="O77" s="73">
        <f t="shared" si="22"/>
        <v>0</v>
      </c>
      <c r="P77" s="78">
        <v>8523.4</v>
      </c>
      <c r="Q77" s="72">
        <f t="shared" ref="Q77:Q83" si="31">+P77</f>
        <v>8523.4</v>
      </c>
      <c r="R77" s="76">
        <f t="shared" si="23"/>
        <v>0</v>
      </c>
      <c r="S77" s="75">
        <f>3+3</f>
        <v>6</v>
      </c>
      <c r="T77" s="74">
        <f>3+3</f>
        <v>6</v>
      </c>
      <c r="U77" s="73">
        <f t="shared" si="24"/>
        <v>0</v>
      </c>
      <c r="V77" s="71">
        <f t="shared" si="30"/>
        <v>8223.2000000000007</v>
      </c>
      <c r="W77" s="72">
        <f t="shared" si="30"/>
        <v>8223.2000000000007</v>
      </c>
      <c r="X77" s="73">
        <f t="shared" si="25"/>
        <v>0</v>
      </c>
      <c r="Y77" s="75">
        <v>7222.1</v>
      </c>
      <c r="Z77" s="74">
        <v>7222.1</v>
      </c>
      <c r="AA77" s="73">
        <f t="shared" si="26"/>
        <v>0</v>
      </c>
      <c r="AB77" s="71">
        <v>1001.1000000000004</v>
      </c>
      <c r="AC77" s="72">
        <v>1001.1000000000004</v>
      </c>
      <c r="AD77" s="73">
        <f t="shared" si="27"/>
        <v>0</v>
      </c>
      <c r="AE77" s="71"/>
      <c r="AF77" s="72"/>
      <c r="AG77" s="73">
        <f t="shared" si="28"/>
        <v>0</v>
      </c>
      <c r="AH77" s="75">
        <v>0</v>
      </c>
      <c r="AI77" s="74">
        <v>0</v>
      </c>
      <c r="AJ77" s="73">
        <f t="shared" si="29"/>
        <v>0</v>
      </c>
      <c r="AL77" s="79"/>
      <c r="AM77" s="79"/>
    </row>
    <row r="78" spans="1:39" ht="27" customHeight="1">
      <c r="A78" s="68">
        <v>59</v>
      </c>
      <c r="B78" s="80" t="s">
        <v>129</v>
      </c>
      <c r="C78" s="70">
        <v>6543.7</v>
      </c>
      <c r="D78" s="71">
        <f t="shared" si="16"/>
        <v>11169.5</v>
      </c>
      <c r="E78" s="72">
        <f t="shared" si="17"/>
        <v>11169.5</v>
      </c>
      <c r="F78" s="73">
        <f t="shared" si="19"/>
        <v>0</v>
      </c>
      <c r="G78" s="74"/>
      <c r="H78" s="72"/>
      <c r="I78" s="73">
        <f t="shared" si="20"/>
        <v>0</v>
      </c>
      <c r="J78" s="75">
        <v>0</v>
      </c>
      <c r="K78" s="74">
        <v>0</v>
      </c>
      <c r="L78" s="76">
        <f t="shared" si="21"/>
        <v>0</v>
      </c>
      <c r="M78" s="74">
        <v>0</v>
      </c>
      <c r="N78" s="77">
        <v>0</v>
      </c>
      <c r="O78" s="73">
        <f t="shared" si="22"/>
        <v>0</v>
      </c>
      <c r="P78" s="78">
        <v>11094.1</v>
      </c>
      <c r="Q78" s="72">
        <f t="shared" si="31"/>
        <v>11094.1</v>
      </c>
      <c r="R78" s="76">
        <f t="shared" si="23"/>
        <v>0</v>
      </c>
      <c r="S78" s="75">
        <f>0.6+16+7.8+34+17</f>
        <v>75.400000000000006</v>
      </c>
      <c r="T78" s="74">
        <f>0.6+16+7.8+34+17</f>
        <v>75.400000000000006</v>
      </c>
      <c r="U78" s="73">
        <f t="shared" si="24"/>
        <v>0</v>
      </c>
      <c r="V78" s="71">
        <f t="shared" si="30"/>
        <v>13961</v>
      </c>
      <c r="W78" s="72">
        <f t="shared" si="30"/>
        <v>13961</v>
      </c>
      <c r="X78" s="73">
        <f t="shared" si="25"/>
        <v>0</v>
      </c>
      <c r="Y78" s="75">
        <v>12267.4</v>
      </c>
      <c r="Z78" s="74">
        <v>12267.4</v>
      </c>
      <c r="AA78" s="73">
        <f t="shared" si="26"/>
        <v>0</v>
      </c>
      <c r="AB78" s="71">
        <v>1693.6000000000004</v>
      </c>
      <c r="AC78" s="72">
        <v>1693.6000000000004</v>
      </c>
      <c r="AD78" s="73">
        <f t="shared" si="27"/>
        <v>0</v>
      </c>
      <c r="AE78" s="71"/>
      <c r="AF78" s="72"/>
      <c r="AG78" s="73">
        <f t="shared" si="28"/>
        <v>0</v>
      </c>
      <c r="AH78" s="75">
        <v>0</v>
      </c>
      <c r="AI78" s="74">
        <v>0</v>
      </c>
      <c r="AJ78" s="73">
        <f t="shared" si="29"/>
        <v>0</v>
      </c>
      <c r="AL78" s="79"/>
      <c r="AM78" s="79"/>
    </row>
    <row r="79" spans="1:39" ht="27" customHeight="1">
      <c r="A79" s="68">
        <v>60</v>
      </c>
      <c r="B79" s="80" t="s">
        <v>130</v>
      </c>
      <c r="C79" s="70">
        <v>6718.9</v>
      </c>
      <c r="D79" s="71">
        <f t="shared" si="16"/>
        <v>13253</v>
      </c>
      <c r="E79" s="72">
        <f t="shared" si="17"/>
        <v>13253</v>
      </c>
      <c r="F79" s="73">
        <f t="shared" si="19"/>
        <v>0</v>
      </c>
      <c r="G79" s="74"/>
      <c r="H79" s="72"/>
      <c r="I79" s="73">
        <f t="shared" si="20"/>
        <v>0</v>
      </c>
      <c r="J79" s="75">
        <v>0</v>
      </c>
      <c r="K79" s="74">
        <v>0</v>
      </c>
      <c r="L79" s="76">
        <f t="shared" si="21"/>
        <v>0</v>
      </c>
      <c r="M79" s="74">
        <v>0</v>
      </c>
      <c r="N79" s="77">
        <v>0</v>
      </c>
      <c r="O79" s="73">
        <f t="shared" si="22"/>
        <v>0</v>
      </c>
      <c r="P79" s="78">
        <v>13238</v>
      </c>
      <c r="Q79" s="72">
        <f t="shared" si="31"/>
        <v>13238</v>
      </c>
      <c r="R79" s="76">
        <f t="shared" si="23"/>
        <v>0</v>
      </c>
      <c r="S79" s="75">
        <v>15</v>
      </c>
      <c r="T79" s="74">
        <v>15</v>
      </c>
      <c r="U79" s="73">
        <f t="shared" si="24"/>
        <v>0</v>
      </c>
      <c r="V79" s="71">
        <f t="shared" si="30"/>
        <v>17004.400000000001</v>
      </c>
      <c r="W79" s="72">
        <f t="shared" si="30"/>
        <v>17004.400000000001</v>
      </c>
      <c r="X79" s="73">
        <f t="shared" si="25"/>
        <v>0</v>
      </c>
      <c r="Y79" s="75">
        <v>15395.1</v>
      </c>
      <c r="Z79" s="74">
        <v>15395.1</v>
      </c>
      <c r="AA79" s="73">
        <f t="shared" si="26"/>
        <v>0</v>
      </c>
      <c r="AB79" s="71">
        <v>1609.3000000000011</v>
      </c>
      <c r="AC79" s="72">
        <v>1609.3000000000011</v>
      </c>
      <c r="AD79" s="73">
        <f t="shared" si="27"/>
        <v>0</v>
      </c>
      <c r="AE79" s="71"/>
      <c r="AF79" s="72"/>
      <c r="AG79" s="73">
        <f t="shared" si="28"/>
        <v>0</v>
      </c>
      <c r="AH79" s="75">
        <v>0</v>
      </c>
      <c r="AI79" s="74">
        <v>0</v>
      </c>
      <c r="AJ79" s="73">
        <f t="shared" si="29"/>
        <v>0</v>
      </c>
      <c r="AL79" s="79"/>
      <c r="AM79" s="79"/>
    </row>
    <row r="80" spans="1:39" ht="27" customHeight="1">
      <c r="A80" s="68">
        <v>61</v>
      </c>
      <c r="B80" s="80" t="s">
        <v>131</v>
      </c>
      <c r="C80" s="70">
        <v>4585.5</v>
      </c>
      <c r="D80" s="71">
        <f t="shared" si="16"/>
        <v>37132.800000000003</v>
      </c>
      <c r="E80" s="72">
        <f t="shared" si="17"/>
        <v>37132.800000000003</v>
      </c>
      <c r="F80" s="73">
        <f t="shared" si="19"/>
        <v>0</v>
      </c>
      <c r="G80" s="74"/>
      <c r="H80" s="72"/>
      <c r="I80" s="73">
        <f t="shared" si="20"/>
        <v>0</v>
      </c>
      <c r="J80" s="75">
        <v>0</v>
      </c>
      <c r="K80" s="74">
        <v>0</v>
      </c>
      <c r="L80" s="76">
        <f t="shared" si="21"/>
        <v>0</v>
      </c>
      <c r="M80" s="74">
        <v>0</v>
      </c>
      <c r="N80" s="77">
        <v>0</v>
      </c>
      <c r="O80" s="73">
        <f t="shared" si="22"/>
        <v>0</v>
      </c>
      <c r="P80" s="78">
        <v>37017.4</v>
      </c>
      <c r="Q80" s="72">
        <f t="shared" si="31"/>
        <v>37017.4</v>
      </c>
      <c r="R80" s="76">
        <f t="shared" si="23"/>
        <v>0</v>
      </c>
      <c r="S80" s="75">
        <v>115.4</v>
      </c>
      <c r="T80" s="74">
        <v>115.4</v>
      </c>
      <c r="U80" s="73">
        <f t="shared" si="24"/>
        <v>0</v>
      </c>
      <c r="V80" s="71">
        <f t="shared" si="30"/>
        <v>31826.7</v>
      </c>
      <c r="W80" s="72">
        <f t="shared" si="30"/>
        <v>31826.7</v>
      </c>
      <c r="X80" s="73">
        <f t="shared" si="25"/>
        <v>0</v>
      </c>
      <c r="Y80" s="75">
        <v>27667.3</v>
      </c>
      <c r="Z80" s="74">
        <v>27667.3</v>
      </c>
      <c r="AA80" s="73">
        <f t="shared" si="26"/>
        <v>0</v>
      </c>
      <c r="AB80" s="71">
        <v>4142.1000000000022</v>
      </c>
      <c r="AC80" s="72">
        <v>4142.1000000000022</v>
      </c>
      <c r="AD80" s="73">
        <f t="shared" si="27"/>
        <v>0</v>
      </c>
      <c r="AE80" s="71"/>
      <c r="AF80" s="72"/>
      <c r="AG80" s="73">
        <f t="shared" si="28"/>
        <v>0</v>
      </c>
      <c r="AH80" s="75">
        <v>17.3</v>
      </c>
      <c r="AI80" s="74">
        <v>17.3</v>
      </c>
      <c r="AJ80" s="73">
        <f t="shared" si="29"/>
        <v>0</v>
      </c>
      <c r="AL80" s="79"/>
      <c r="AM80" s="79"/>
    </row>
    <row r="81" spans="1:39" ht="27" customHeight="1">
      <c r="A81" s="68">
        <v>62</v>
      </c>
      <c r="B81" s="80" t="s">
        <v>132</v>
      </c>
      <c r="C81" s="70">
        <v>4191</v>
      </c>
      <c r="D81" s="71">
        <f t="shared" si="16"/>
        <v>10486.9</v>
      </c>
      <c r="E81" s="72">
        <f t="shared" si="17"/>
        <v>10486.9</v>
      </c>
      <c r="F81" s="73">
        <f t="shared" si="19"/>
        <v>0</v>
      </c>
      <c r="G81" s="74"/>
      <c r="H81" s="72"/>
      <c r="I81" s="73">
        <f t="shared" si="20"/>
        <v>0</v>
      </c>
      <c r="J81" s="75">
        <v>0</v>
      </c>
      <c r="K81" s="74">
        <v>0</v>
      </c>
      <c r="L81" s="76">
        <f t="shared" si="21"/>
        <v>0</v>
      </c>
      <c r="M81" s="74">
        <v>0</v>
      </c>
      <c r="N81" s="77">
        <v>0</v>
      </c>
      <c r="O81" s="73">
        <f t="shared" si="22"/>
        <v>0</v>
      </c>
      <c r="P81" s="78">
        <v>10465.6</v>
      </c>
      <c r="Q81" s="72">
        <f t="shared" si="31"/>
        <v>10465.6</v>
      </c>
      <c r="R81" s="76">
        <f t="shared" si="23"/>
        <v>0</v>
      </c>
      <c r="S81" s="75">
        <f>4.8+5+11.5</f>
        <v>21.3</v>
      </c>
      <c r="T81" s="74">
        <f>4.8+5+11.5</f>
        <v>21.3</v>
      </c>
      <c r="U81" s="73">
        <f t="shared" si="24"/>
        <v>0</v>
      </c>
      <c r="V81" s="71">
        <f t="shared" si="30"/>
        <v>12182.9</v>
      </c>
      <c r="W81" s="72">
        <f t="shared" si="30"/>
        <v>12182.9</v>
      </c>
      <c r="X81" s="73">
        <f t="shared" si="25"/>
        <v>0</v>
      </c>
      <c r="Y81" s="75">
        <v>11566.1</v>
      </c>
      <c r="Z81" s="74">
        <v>11566.1</v>
      </c>
      <c r="AA81" s="73">
        <f t="shared" si="26"/>
        <v>0</v>
      </c>
      <c r="AB81" s="71">
        <v>616.79999999999927</v>
      </c>
      <c r="AC81" s="72">
        <v>616.79999999999927</v>
      </c>
      <c r="AD81" s="73">
        <f t="shared" si="27"/>
        <v>0</v>
      </c>
      <c r="AE81" s="71"/>
      <c r="AF81" s="72"/>
      <c r="AG81" s="73">
        <f t="shared" si="28"/>
        <v>0</v>
      </c>
      <c r="AH81" s="75">
        <v>0</v>
      </c>
      <c r="AI81" s="74">
        <v>0</v>
      </c>
      <c r="AJ81" s="73">
        <f t="shared" si="29"/>
        <v>0</v>
      </c>
      <c r="AL81" s="79"/>
      <c r="AM81" s="79"/>
    </row>
    <row r="82" spans="1:39" ht="27" customHeight="1">
      <c r="A82" s="68">
        <v>63</v>
      </c>
      <c r="B82" s="80" t="s">
        <v>56</v>
      </c>
      <c r="C82" s="70">
        <v>4497.3999999999996</v>
      </c>
      <c r="D82" s="71">
        <f t="shared" si="16"/>
        <v>11980.8</v>
      </c>
      <c r="E82" s="72">
        <f t="shared" si="17"/>
        <v>11980.8</v>
      </c>
      <c r="F82" s="73">
        <f t="shared" si="19"/>
        <v>0</v>
      </c>
      <c r="G82" s="74"/>
      <c r="H82" s="72"/>
      <c r="I82" s="73">
        <f t="shared" si="20"/>
        <v>0</v>
      </c>
      <c r="J82" s="75">
        <v>0</v>
      </c>
      <c r="K82" s="74">
        <v>0</v>
      </c>
      <c r="L82" s="76">
        <f t="shared" si="21"/>
        <v>0</v>
      </c>
      <c r="M82" s="74">
        <v>0</v>
      </c>
      <c r="N82" s="77">
        <v>0</v>
      </c>
      <c r="O82" s="73">
        <f t="shared" si="22"/>
        <v>0</v>
      </c>
      <c r="P82" s="78">
        <v>10893</v>
      </c>
      <c r="Q82" s="72">
        <f t="shared" si="31"/>
        <v>10893</v>
      </c>
      <c r="R82" s="76">
        <f t="shared" si="23"/>
        <v>0</v>
      </c>
      <c r="S82" s="75">
        <f>743.9+343.9</f>
        <v>1087.8</v>
      </c>
      <c r="T82" s="74">
        <f>743.9+343.9</f>
        <v>1087.8</v>
      </c>
      <c r="U82" s="73">
        <f t="shared" si="24"/>
        <v>0</v>
      </c>
      <c r="V82" s="71">
        <f t="shared" si="30"/>
        <v>13788.7</v>
      </c>
      <c r="W82" s="72">
        <f t="shared" si="30"/>
        <v>13788.7</v>
      </c>
      <c r="X82" s="73">
        <f t="shared" si="25"/>
        <v>0</v>
      </c>
      <c r="Y82" s="75">
        <v>7707.2</v>
      </c>
      <c r="Z82" s="74">
        <v>7707.2</v>
      </c>
      <c r="AA82" s="73">
        <f t="shared" si="26"/>
        <v>0</v>
      </c>
      <c r="AB82" s="71">
        <v>6079.5000000000009</v>
      </c>
      <c r="AC82" s="72">
        <v>6079.5000000000009</v>
      </c>
      <c r="AD82" s="73">
        <f t="shared" si="27"/>
        <v>0</v>
      </c>
      <c r="AE82" s="71"/>
      <c r="AF82" s="72"/>
      <c r="AG82" s="73">
        <f t="shared" si="28"/>
        <v>0</v>
      </c>
      <c r="AH82" s="75">
        <v>2</v>
      </c>
      <c r="AI82" s="74">
        <v>2</v>
      </c>
      <c r="AJ82" s="73">
        <f t="shared" si="29"/>
        <v>0</v>
      </c>
      <c r="AL82" s="79"/>
      <c r="AM82" s="79"/>
    </row>
    <row r="83" spans="1:39" ht="27" customHeight="1">
      <c r="A83" s="68">
        <v>64</v>
      </c>
      <c r="B83" s="80" t="s">
        <v>57</v>
      </c>
      <c r="C83" s="70">
        <v>20035</v>
      </c>
      <c r="D83" s="71">
        <f t="shared" si="16"/>
        <v>41076.400000000001</v>
      </c>
      <c r="E83" s="72">
        <f t="shared" si="17"/>
        <v>41076.400000000001</v>
      </c>
      <c r="F83" s="73">
        <f t="shared" si="19"/>
        <v>0</v>
      </c>
      <c r="G83" s="74"/>
      <c r="H83" s="72"/>
      <c r="I83" s="73">
        <f t="shared" si="20"/>
        <v>0</v>
      </c>
      <c r="J83" s="75">
        <v>156.6</v>
      </c>
      <c r="K83" s="74">
        <v>156.6</v>
      </c>
      <c r="L83" s="76">
        <f t="shared" si="21"/>
        <v>0</v>
      </c>
      <c r="M83" s="74">
        <v>0</v>
      </c>
      <c r="N83" s="77">
        <v>0</v>
      </c>
      <c r="O83" s="73">
        <f t="shared" si="22"/>
        <v>0</v>
      </c>
      <c r="P83" s="78">
        <v>40919.800000000003</v>
      </c>
      <c r="Q83" s="72">
        <f t="shared" si="31"/>
        <v>40919.800000000003</v>
      </c>
      <c r="R83" s="76">
        <f t="shared" si="23"/>
        <v>0</v>
      </c>
      <c r="S83" s="75">
        <v>0</v>
      </c>
      <c r="T83" s="74">
        <v>0</v>
      </c>
      <c r="U83" s="73">
        <f t="shared" si="24"/>
        <v>0</v>
      </c>
      <c r="V83" s="71">
        <f t="shared" si="30"/>
        <v>34042.9</v>
      </c>
      <c r="W83" s="72">
        <f t="shared" si="30"/>
        <v>34042.9</v>
      </c>
      <c r="X83" s="73">
        <f t="shared" si="25"/>
        <v>0</v>
      </c>
      <c r="Y83" s="75">
        <v>30240.3</v>
      </c>
      <c r="Z83" s="74">
        <v>30240.3</v>
      </c>
      <c r="AA83" s="73">
        <f t="shared" si="26"/>
        <v>0</v>
      </c>
      <c r="AB83" s="71">
        <v>3789.0000000000036</v>
      </c>
      <c r="AC83" s="72">
        <v>3789.0000000000036</v>
      </c>
      <c r="AD83" s="73">
        <f t="shared" si="27"/>
        <v>0</v>
      </c>
      <c r="AE83" s="71"/>
      <c r="AF83" s="72"/>
      <c r="AG83" s="73">
        <f t="shared" si="28"/>
        <v>0</v>
      </c>
      <c r="AH83" s="75">
        <v>13.6</v>
      </c>
      <c r="AI83" s="74">
        <v>13.6</v>
      </c>
      <c r="AJ83" s="73">
        <f t="shared" si="29"/>
        <v>0</v>
      </c>
      <c r="AL83" s="79"/>
      <c r="AM83" s="79"/>
    </row>
    <row r="84" spans="1:39" ht="26.25" customHeight="1">
      <c r="A84" s="68">
        <v>65</v>
      </c>
      <c r="B84" s="88" t="s">
        <v>66</v>
      </c>
      <c r="C84" s="70">
        <v>2922</v>
      </c>
      <c r="D84" s="71">
        <f t="shared" si="16"/>
        <v>9263.1</v>
      </c>
      <c r="E84" s="72">
        <f t="shared" si="17"/>
        <v>9263.1</v>
      </c>
      <c r="F84" s="73">
        <f>D84-E84</f>
        <v>0</v>
      </c>
      <c r="G84" s="74"/>
      <c r="H84" s="72"/>
      <c r="I84" s="73">
        <f>G84-H84</f>
        <v>0</v>
      </c>
      <c r="J84" s="75">
        <v>153</v>
      </c>
      <c r="K84" s="74">
        <v>153</v>
      </c>
      <c r="L84" s="76">
        <f>J84-K84</f>
        <v>0</v>
      </c>
      <c r="M84" s="74">
        <v>0</v>
      </c>
      <c r="N84" s="77">
        <v>0</v>
      </c>
      <c r="O84" s="73">
        <f>M84-N84</f>
        <v>0</v>
      </c>
      <c r="P84" s="78">
        <v>8631</v>
      </c>
      <c r="Q84" s="72">
        <f>+P84</f>
        <v>8631</v>
      </c>
      <c r="R84" s="76">
        <f>P84-Q84</f>
        <v>0</v>
      </c>
      <c r="S84" s="75">
        <f>195+284.1+0</f>
        <v>479.1</v>
      </c>
      <c r="T84" s="74">
        <f>195+284.1+0</f>
        <v>479.1</v>
      </c>
      <c r="U84" s="73">
        <f>S84-T84</f>
        <v>0</v>
      </c>
      <c r="V84" s="71">
        <f>Y84+AB84+AE84+AH84</f>
        <v>10134.4</v>
      </c>
      <c r="W84" s="72">
        <f>Z84+AC84+AF84+AI84</f>
        <v>10134.4</v>
      </c>
      <c r="X84" s="73">
        <f>V84-W84</f>
        <v>0</v>
      </c>
      <c r="Y84" s="75">
        <v>7373.5</v>
      </c>
      <c r="Z84" s="74">
        <v>7373.5</v>
      </c>
      <c r="AA84" s="73">
        <f>Y84-Z84</f>
        <v>0</v>
      </c>
      <c r="AB84" s="71">
        <v>2760.8999999999996</v>
      </c>
      <c r="AC84" s="72">
        <v>2760.8999999999996</v>
      </c>
      <c r="AD84" s="73">
        <f>AB84-AC84</f>
        <v>0</v>
      </c>
      <c r="AE84" s="71"/>
      <c r="AF84" s="72"/>
      <c r="AG84" s="73">
        <f>AE84-AF84</f>
        <v>0</v>
      </c>
      <c r="AH84" s="75">
        <v>0</v>
      </c>
      <c r="AI84" s="74">
        <v>0</v>
      </c>
      <c r="AJ84" s="73">
        <f>AH84-AI84</f>
        <v>0</v>
      </c>
      <c r="AL84" s="79"/>
      <c r="AM84" s="79"/>
    </row>
    <row r="85" spans="1:39" ht="26.25" customHeight="1">
      <c r="A85" s="68">
        <v>66</v>
      </c>
      <c r="B85" s="80" t="s">
        <v>67</v>
      </c>
      <c r="C85" s="70">
        <v>2934</v>
      </c>
      <c r="D85" s="71">
        <f t="shared" ref="D85:D116" si="32">+G85+J85+M85+P85+S85</f>
        <v>22295.100000000002</v>
      </c>
      <c r="E85" s="72">
        <f t="shared" ref="E85:E116" si="33">+H85+K85+N85+Q85+T85</f>
        <v>22295.100000000002</v>
      </c>
      <c r="F85" s="73">
        <f t="shared" ref="F85:F133" si="34">D85-E85</f>
        <v>0</v>
      </c>
      <c r="G85" s="74"/>
      <c r="H85" s="72"/>
      <c r="I85" s="73">
        <f t="shared" ref="I85:I133" si="35">G85-H85</f>
        <v>0</v>
      </c>
      <c r="J85" s="75">
        <f>850+300+379.8</f>
        <v>1529.8</v>
      </c>
      <c r="K85" s="74">
        <f>850+300+379.8</f>
        <v>1529.8</v>
      </c>
      <c r="L85" s="76">
        <f t="shared" ref="L85:L133" si="36">J85-K85</f>
        <v>0</v>
      </c>
      <c r="M85" s="74">
        <v>0</v>
      </c>
      <c r="N85" s="77">
        <v>0</v>
      </c>
      <c r="O85" s="73">
        <f t="shared" ref="O85:O133" si="37">M85-N85</f>
        <v>0</v>
      </c>
      <c r="P85" s="78">
        <v>20041.900000000001</v>
      </c>
      <c r="Q85" s="72">
        <f t="shared" ref="Q85:Q133" si="38">+P85</f>
        <v>20041.900000000001</v>
      </c>
      <c r="R85" s="76">
        <f t="shared" ref="R85:R133" si="39">P85-Q85</f>
        <v>0</v>
      </c>
      <c r="S85" s="75">
        <f>677.3+46+0.1</f>
        <v>723.4</v>
      </c>
      <c r="T85" s="74">
        <f>677.3+46+0.1</f>
        <v>723.4</v>
      </c>
      <c r="U85" s="73">
        <f t="shared" ref="U85:U133" si="40">S85-T85</f>
        <v>0</v>
      </c>
      <c r="V85" s="71">
        <f t="shared" ref="V85:W104" si="41">Y85+AB85+AE85+AH85</f>
        <v>22960.6</v>
      </c>
      <c r="W85" s="72">
        <f t="shared" si="41"/>
        <v>22960.6</v>
      </c>
      <c r="X85" s="73">
        <f t="shared" ref="X85:X133" si="42">V85-W85</f>
        <v>0</v>
      </c>
      <c r="Y85" s="75">
        <v>19953.5</v>
      </c>
      <c r="Z85" s="74">
        <v>19953.5</v>
      </c>
      <c r="AA85" s="73">
        <f t="shared" ref="AA85:AA133" si="43">Y85-Z85</f>
        <v>0</v>
      </c>
      <c r="AB85" s="71">
        <v>2447.7999999999993</v>
      </c>
      <c r="AC85" s="72">
        <v>2447.7999999999993</v>
      </c>
      <c r="AD85" s="73">
        <f t="shared" ref="AD85:AD133" si="44">AB85-AC85</f>
        <v>0</v>
      </c>
      <c r="AE85" s="71"/>
      <c r="AF85" s="72"/>
      <c r="AG85" s="73">
        <f t="shared" ref="AG85:AG133" si="45">AE85-AF85</f>
        <v>0</v>
      </c>
      <c r="AH85" s="75">
        <v>559.29999999999995</v>
      </c>
      <c r="AI85" s="74">
        <v>559.29999999999995</v>
      </c>
      <c r="AJ85" s="73">
        <f t="shared" ref="AJ85:AJ133" si="46">AH85-AI85</f>
        <v>0</v>
      </c>
      <c r="AL85" s="79"/>
      <c r="AM85" s="79"/>
    </row>
    <row r="86" spans="1:39" ht="26.25" customHeight="1">
      <c r="A86" s="68">
        <v>67</v>
      </c>
      <c r="B86" s="80" t="s">
        <v>68</v>
      </c>
      <c r="C86" s="70">
        <v>4193.1000000000004</v>
      </c>
      <c r="D86" s="71">
        <f t="shared" si="32"/>
        <v>13664.699999999999</v>
      </c>
      <c r="E86" s="72">
        <f t="shared" si="33"/>
        <v>13664.699999999999</v>
      </c>
      <c r="F86" s="73">
        <f t="shared" si="34"/>
        <v>0</v>
      </c>
      <c r="G86" s="74"/>
      <c r="H86" s="72"/>
      <c r="I86" s="73">
        <f t="shared" si="35"/>
        <v>0</v>
      </c>
      <c r="J86" s="75">
        <v>0</v>
      </c>
      <c r="K86" s="74">
        <v>0</v>
      </c>
      <c r="L86" s="76">
        <f t="shared" si="36"/>
        <v>0</v>
      </c>
      <c r="M86" s="74">
        <v>0</v>
      </c>
      <c r="N86" s="77">
        <v>0</v>
      </c>
      <c r="O86" s="73">
        <f t="shared" si="37"/>
        <v>0</v>
      </c>
      <c r="P86" s="78">
        <v>13508.9</v>
      </c>
      <c r="Q86" s="72">
        <f t="shared" si="38"/>
        <v>13508.9</v>
      </c>
      <c r="R86" s="76">
        <f t="shared" si="39"/>
        <v>0</v>
      </c>
      <c r="S86" s="75">
        <f>50+6+99.7+0.1</f>
        <v>155.79999999999998</v>
      </c>
      <c r="T86" s="74">
        <f>50+6+99.7+0.1</f>
        <v>155.79999999999998</v>
      </c>
      <c r="U86" s="73">
        <f t="shared" si="40"/>
        <v>0</v>
      </c>
      <c r="V86" s="71">
        <f t="shared" si="41"/>
        <v>12785.7</v>
      </c>
      <c r="W86" s="72">
        <f t="shared" si="41"/>
        <v>12785.7</v>
      </c>
      <c r="X86" s="73">
        <f t="shared" si="42"/>
        <v>0</v>
      </c>
      <c r="Y86" s="75">
        <v>11343.5</v>
      </c>
      <c r="Z86" s="74">
        <v>11343.5</v>
      </c>
      <c r="AA86" s="73">
        <f t="shared" si="43"/>
        <v>0</v>
      </c>
      <c r="AB86" s="71">
        <v>1387.7000000000007</v>
      </c>
      <c r="AC86" s="72">
        <v>1387.7000000000007</v>
      </c>
      <c r="AD86" s="73">
        <f t="shared" si="44"/>
        <v>0</v>
      </c>
      <c r="AE86" s="71"/>
      <c r="AF86" s="72"/>
      <c r="AG86" s="73">
        <f t="shared" si="45"/>
        <v>0</v>
      </c>
      <c r="AH86" s="75">
        <v>54.5</v>
      </c>
      <c r="AI86" s="74">
        <v>54.5</v>
      </c>
      <c r="AJ86" s="73">
        <f t="shared" si="46"/>
        <v>0</v>
      </c>
      <c r="AL86" s="79"/>
      <c r="AM86" s="79"/>
    </row>
    <row r="87" spans="1:39" ht="26.25" customHeight="1">
      <c r="A87" s="68">
        <v>68</v>
      </c>
      <c r="B87" s="80" t="s">
        <v>69</v>
      </c>
      <c r="C87" s="70">
        <v>5251.2</v>
      </c>
      <c r="D87" s="71">
        <f t="shared" si="32"/>
        <v>9460.5000000000018</v>
      </c>
      <c r="E87" s="72">
        <f t="shared" si="33"/>
        <v>9460.5000000000018</v>
      </c>
      <c r="F87" s="73">
        <f t="shared" si="34"/>
        <v>0</v>
      </c>
      <c r="G87" s="74"/>
      <c r="H87" s="72"/>
      <c r="I87" s="73">
        <f t="shared" si="35"/>
        <v>0</v>
      </c>
      <c r="J87" s="75">
        <v>156.69999999999999</v>
      </c>
      <c r="K87" s="74">
        <v>156.69999999999999</v>
      </c>
      <c r="L87" s="76">
        <f t="shared" si="36"/>
        <v>0</v>
      </c>
      <c r="M87" s="74">
        <v>0</v>
      </c>
      <c r="N87" s="77">
        <v>0</v>
      </c>
      <c r="O87" s="73">
        <f t="shared" si="37"/>
        <v>0</v>
      </c>
      <c r="P87" s="78">
        <v>8477.6</v>
      </c>
      <c r="Q87" s="72">
        <f t="shared" si="38"/>
        <v>8477.6</v>
      </c>
      <c r="R87" s="76">
        <f t="shared" si="39"/>
        <v>0</v>
      </c>
      <c r="S87" s="75">
        <f>429+76.6+54.5+266.1</f>
        <v>826.2</v>
      </c>
      <c r="T87" s="74">
        <f>429+76.6+54.5+266.1</f>
        <v>826.2</v>
      </c>
      <c r="U87" s="73">
        <f t="shared" si="40"/>
        <v>0</v>
      </c>
      <c r="V87" s="71">
        <f t="shared" si="41"/>
        <v>11091.7</v>
      </c>
      <c r="W87" s="72">
        <f t="shared" si="41"/>
        <v>11091.7</v>
      </c>
      <c r="X87" s="73">
        <f t="shared" si="42"/>
        <v>0</v>
      </c>
      <c r="Y87" s="75">
        <v>9985.5</v>
      </c>
      <c r="Z87" s="74">
        <v>9985.5</v>
      </c>
      <c r="AA87" s="73">
        <f t="shared" si="43"/>
        <v>0</v>
      </c>
      <c r="AB87" s="71">
        <v>1095.2000000000007</v>
      </c>
      <c r="AC87" s="72">
        <v>1095.2000000000007</v>
      </c>
      <c r="AD87" s="73">
        <f t="shared" si="44"/>
        <v>0</v>
      </c>
      <c r="AE87" s="71"/>
      <c r="AF87" s="72"/>
      <c r="AG87" s="73">
        <f t="shared" si="45"/>
        <v>0</v>
      </c>
      <c r="AH87" s="75">
        <v>11</v>
      </c>
      <c r="AI87" s="74">
        <v>11</v>
      </c>
      <c r="AJ87" s="73">
        <f t="shared" si="46"/>
        <v>0</v>
      </c>
      <c r="AL87" s="79"/>
      <c r="AM87" s="79"/>
    </row>
    <row r="88" spans="1:39" ht="26.25" customHeight="1">
      <c r="A88" s="68">
        <v>69</v>
      </c>
      <c r="B88" s="80" t="s">
        <v>70</v>
      </c>
      <c r="C88" s="70">
        <v>6081</v>
      </c>
      <c r="D88" s="71">
        <f t="shared" si="32"/>
        <v>14166.4</v>
      </c>
      <c r="E88" s="72">
        <f t="shared" si="33"/>
        <v>14166.4</v>
      </c>
      <c r="F88" s="73">
        <f t="shared" si="34"/>
        <v>0</v>
      </c>
      <c r="G88" s="74"/>
      <c r="H88" s="72"/>
      <c r="I88" s="73">
        <f t="shared" si="35"/>
        <v>0</v>
      </c>
      <c r="J88" s="75">
        <v>75.599999999999994</v>
      </c>
      <c r="K88" s="74">
        <v>75.599999999999994</v>
      </c>
      <c r="L88" s="76">
        <f t="shared" si="36"/>
        <v>0</v>
      </c>
      <c r="M88" s="74">
        <v>0</v>
      </c>
      <c r="N88" s="77">
        <v>0</v>
      </c>
      <c r="O88" s="73">
        <f t="shared" si="37"/>
        <v>0</v>
      </c>
      <c r="P88" s="78">
        <v>13811.8</v>
      </c>
      <c r="Q88" s="72">
        <f t="shared" si="38"/>
        <v>13811.8</v>
      </c>
      <c r="R88" s="76">
        <f t="shared" si="39"/>
        <v>0</v>
      </c>
      <c r="S88" s="75">
        <f>45+233.9+0.1</f>
        <v>279</v>
      </c>
      <c r="T88" s="74">
        <f>45+233.9+0.1</f>
        <v>279</v>
      </c>
      <c r="U88" s="73">
        <f t="shared" si="40"/>
        <v>0</v>
      </c>
      <c r="V88" s="71">
        <f t="shared" si="41"/>
        <v>15621</v>
      </c>
      <c r="W88" s="72">
        <f t="shared" si="41"/>
        <v>15621</v>
      </c>
      <c r="X88" s="73">
        <f t="shared" si="42"/>
        <v>0</v>
      </c>
      <c r="Y88" s="75">
        <v>10877.5</v>
      </c>
      <c r="Z88" s="74">
        <v>10877.5</v>
      </c>
      <c r="AA88" s="73">
        <f t="shared" si="43"/>
        <v>0</v>
      </c>
      <c r="AB88" s="71">
        <v>4743.2000000000007</v>
      </c>
      <c r="AC88" s="72">
        <v>4743.2000000000007</v>
      </c>
      <c r="AD88" s="73">
        <f t="shared" si="44"/>
        <v>0</v>
      </c>
      <c r="AE88" s="71"/>
      <c r="AF88" s="72"/>
      <c r="AG88" s="73">
        <f t="shared" si="45"/>
        <v>0</v>
      </c>
      <c r="AH88" s="75">
        <v>0.3</v>
      </c>
      <c r="AI88" s="74">
        <v>0.3</v>
      </c>
      <c r="AJ88" s="73">
        <f t="shared" si="46"/>
        <v>0</v>
      </c>
      <c r="AL88" s="79"/>
      <c r="AM88" s="79"/>
    </row>
    <row r="89" spans="1:39" ht="26.25" customHeight="1">
      <c r="A89" s="68">
        <v>70</v>
      </c>
      <c r="B89" s="80" t="s">
        <v>71</v>
      </c>
      <c r="C89" s="70">
        <v>11732.2</v>
      </c>
      <c r="D89" s="71">
        <f t="shared" si="32"/>
        <v>45540.800000000003</v>
      </c>
      <c r="E89" s="72">
        <f t="shared" si="33"/>
        <v>45540.800000000003</v>
      </c>
      <c r="F89" s="73">
        <f t="shared" si="34"/>
        <v>0</v>
      </c>
      <c r="G89" s="74"/>
      <c r="H89" s="72"/>
      <c r="I89" s="73">
        <f t="shared" si="35"/>
        <v>0</v>
      </c>
      <c r="J89" s="75">
        <v>814</v>
      </c>
      <c r="K89" s="74">
        <v>814</v>
      </c>
      <c r="L89" s="76">
        <f t="shared" si="36"/>
        <v>0</v>
      </c>
      <c r="M89" s="74">
        <v>0</v>
      </c>
      <c r="N89" s="77">
        <v>0</v>
      </c>
      <c r="O89" s="73">
        <f t="shared" si="37"/>
        <v>0</v>
      </c>
      <c r="P89" s="78">
        <v>44194.8</v>
      </c>
      <c r="Q89" s="72">
        <f t="shared" si="38"/>
        <v>44194.8</v>
      </c>
      <c r="R89" s="76">
        <f t="shared" si="39"/>
        <v>0</v>
      </c>
      <c r="S89" s="75">
        <f>496+36</f>
        <v>532</v>
      </c>
      <c r="T89" s="74">
        <f>496+36</f>
        <v>532</v>
      </c>
      <c r="U89" s="73">
        <f t="shared" si="40"/>
        <v>0</v>
      </c>
      <c r="V89" s="71">
        <f t="shared" si="41"/>
        <v>36228</v>
      </c>
      <c r="W89" s="72">
        <f t="shared" si="41"/>
        <v>36228</v>
      </c>
      <c r="X89" s="73">
        <f t="shared" si="42"/>
        <v>0</v>
      </c>
      <c r="Y89" s="75">
        <v>25379.200000000001</v>
      </c>
      <c r="Z89" s="74">
        <v>25379.200000000001</v>
      </c>
      <c r="AA89" s="73">
        <f t="shared" si="43"/>
        <v>0</v>
      </c>
      <c r="AB89" s="71">
        <v>9018.9999999999964</v>
      </c>
      <c r="AC89" s="72">
        <v>9018.9999999999964</v>
      </c>
      <c r="AD89" s="73">
        <f t="shared" si="44"/>
        <v>0</v>
      </c>
      <c r="AE89" s="71"/>
      <c r="AF89" s="72"/>
      <c r="AG89" s="73">
        <f t="shared" si="45"/>
        <v>0</v>
      </c>
      <c r="AH89" s="75">
        <v>1829.8</v>
      </c>
      <c r="AI89" s="74">
        <v>1829.8</v>
      </c>
      <c r="AJ89" s="73">
        <f t="shared" si="46"/>
        <v>0</v>
      </c>
      <c r="AL89" s="79"/>
      <c r="AM89" s="79"/>
    </row>
    <row r="90" spans="1:39" ht="26.25" customHeight="1">
      <c r="A90" s="68">
        <v>71</v>
      </c>
      <c r="B90" s="80" t="s">
        <v>34</v>
      </c>
      <c r="C90" s="70">
        <v>8696.1</v>
      </c>
      <c r="D90" s="71">
        <f t="shared" si="32"/>
        <v>8433.9</v>
      </c>
      <c r="E90" s="72">
        <f t="shared" si="33"/>
        <v>8433.9</v>
      </c>
      <c r="F90" s="73">
        <f t="shared" si="34"/>
        <v>0</v>
      </c>
      <c r="G90" s="74"/>
      <c r="H90" s="72"/>
      <c r="I90" s="73">
        <f t="shared" si="35"/>
        <v>0</v>
      </c>
      <c r="J90" s="75">
        <f>77+14.4</f>
        <v>91.4</v>
      </c>
      <c r="K90" s="74">
        <f>77+14.4</f>
        <v>91.4</v>
      </c>
      <c r="L90" s="76">
        <f t="shared" si="36"/>
        <v>0</v>
      </c>
      <c r="M90" s="74">
        <v>0</v>
      </c>
      <c r="N90" s="77">
        <v>0</v>
      </c>
      <c r="O90" s="73">
        <f t="shared" si="37"/>
        <v>0</v>
      </c>
      <c r="P90" s="78">
        <v>7518.3</v>
      </c>
      <c r="Q90" s="72">
        <f t="shared" si="38"/>
        <v>7518.3</v>
      </c>
      <c r="R90" s="76">
        <f t="shared" si="39"/>
        <v>0</v>
      </c>
      <c r="S90" s="75">
        <f>140+458.4+225.8+0</f>
        <v>824.2</v>
      </c>
      <c r="T90" s="74">
        <f>140+458.4+225.8+0</f>
        <v>824.2</v>
      </c>
      <c r="U90" s="73">
        <f t="shared" si="40"/>
        <v>0</v>
      </c>
      <c r="V90" s="71">
        <f t="shared" si="41"/>
        <v>9894.6</v>
      </c>
      <c r="W90" s="72">
        <f t="shared" si="41"/>
        <v>9894.6</v>
      </c>
      <c r="X90" s="73">
        <f t="shared" si="42"/>
        <v>0</v>
      </c>
      <c r="Y90" s="75">
        <v>7612.4</v>
      </c>
      <c r="Z90" s="74">
        <v>7612.4</v>
      </c>
      <c r="AA90" s="73">
        <f t="shared" si="43"/>
        <v>0</v>
      </c>
      <c r="AB90" s="71">
        <v>2261.2000000000007</v>
      </c>
      <c r="AC90" s="72">
        <v>2261.2000000000007</v>
      </c>
      <c r="AD90" s="73">
        <f t="shared" si="44"/>
        <v>0</v>
      </c>
      <c r="AE90" s="71"/>
      <c r="AF90" s="72"/>
      <c r="AG90" s="73">
        <f t="shared" si="45"/>
        <v>0</v>
      </c>
      <c r="AH90" s="75">
        <v>21</v>
      </c>
      <c r="AI90" s="74">
        <v>21</v>
      </c>
      <c r="AJ90" s="73">
        <f t="shared" si="46"/>
        <v>0</v>
      </c>
      <c r="AL90" s="79"/>
      <c r="AM90" s="79"/>
    </row>
    <row r="91" spans="1:39" ht="26.25" customHeight="1">
      <c r="A91" s="68">
        <v>72</v>
      </c>
      <c r="B91" s="80" t="s">
        <v>72</v>
      </c>
      <c r="C91" s="70">
        <v>3553.2</v>
      </c>
      <c r="D91" s="71">
        <f t="shared" si="32"/>
        <v>7618.5</v>
      </c>
      <c r="E91" s="72">
        <f t="shared" si="33"/>
        <v>7618.5</v>
      </c>
      <c r="F91" s="73">
        <f t="shared" si="34"/>
        <v>0</v>
      </c>
      <c r="G91" s="74"/>
      <c r="H91" s="72"/>
      <c r="I91" s="73">
        <f t="shared" si="35"/>
        <v>0</v>
      </c>
      <c r="J91" s="75">
        <v>0</v>
      </c>
      <c r="K91" s="74">
        <v>0</v>
      </c>
      <c r="L91" s="76">
        <f t="shared" si="36"/>
        <v>0</v>
      </c>
      <c r="M91" s="74">
        <v>0</v>
      </c>
      <c r="N91" s="77">
        <v>0</v>
      </c>
      <c r="O91" s="73">
        <f t="shared" si="37"/>
        <v>0</v>
      </c>
      <c r="P91" s="78">
        <v>6966.1</v>
      </c>
      <c r="Q91" s="72">
        <f t="shared" si="38"/>
        <v>6966.1</v>
      </c>
      <c r="R91" s="76">
        <f t="shared" si="39"/>
        <v>0</v>
      </c>
      <c r="S91" s="75">
        <f>524+128.4</f>
        <v>652.4</v>
      </c>
      <c r="T91" s="74">
        <f>524+128.4</f>
        <v>652.4</v>
      </c>
      <c r="U91" s="73">
        <f t="shared" si="40"/>
        <v>0</v>
      </c>
      <c r="V91" s="71">
        <f t="shared" si="41"/>
        <v>7506.4</v>
      </c>
      <c r="W91" s="72">
        <f t="shared" si="41"/>
        <v>7506.4</v>
      </c>
      <c r="X91" s="73">
        <f t="shared" si="42"/>
        <v>0</v>
      </c>
      <c r="Y91" s="75">
        <v>6282.6</v>
      </c>
      <c r="Z91" s="74">
        <v>6282.6</v>
      </c>
      <c r="AA91" s="73">
        <f t="shared" si="43"/>
        <v>0</v>
      </c>
      <c r="AB91" s="71">
        <v>1223.7999999999993</v>
      </c>
      <c r="AC91" s="72">
        <v>1223.7999999999993</v>
      </c>
      <c r="AD91" s="73">
        <f t="shared" si="44"/>
        <v>0</v>
      </c>
      <c r="AE91" s="71"/>
      <c r="AF91" s="72"/>
      <c r="AG91" s="73">
        <f t="shared" si="45"/>
        <v>0</v>
      </c>
      <c r="AH91" s="75">
        <v>0</v>
      </c>
      <c r="AI91" s="74">
        <v>0</v>
      </c>
      <c r="AJ91" s="73">
        <f t="shared" si="46"/>
        <v>0</v>
      </c>
      <c r="AL91" s="79"/>
      <c r="AM91" s="79"/>
    </row>
    <row r="92" spans="1:39" ht="26.25" customHeight="1">
      <c r="A92" s="68">
        <v>73</v>
      </c>
      <c r="B92" s="80" t="s">
        <v>35</v>
      </c>
      <c r="C92" s="70">
        <v>9977.6</v>
      </c>
      <c r="D92" s="71">
        <f t="shared" si="32"/>
        <v>13339.3</v>
      </c>
      <c r="E92" s="72">
        <f t="shared" si="33"/>
        <v>13339.3</v>
      </c>
      <c r="F92" s="73">
        <f t="shared" si="34"/>
        <v>0</v>
      </c>
      <c r="G92" s="74"/>
      <c r="H92" s="72"/>
      <c r="I92" s="73">
        <f t="shared" si="35"/>
        <v>0</v>
      </c>
      <c r="J92" s="75">
        <v>0</v>
      </c>
      <c r="K92" s="74">
        <v>0</v>
      </c>
      <c r="L92" s="76">
        <f t="shared" si="36"/>
        <v>0</v>
      </c>
      <c r="M92" s="74">
        <v>0</v>
      </c>
      <c r="N92" s="77">
        <v>0</v>
      </c>
      <c r="O92" s="73">
        <f t="shared" si="37"/>
        <v>0</v>
      </c>
      <c r="P92" s="78">
        <v>11794.3</v>
      </c>
      <c r="Q92" s="72">
        <f t="shared" si="38"/>
        <v>11794.3</v>
      </c>
      <c r="R92" s="76">
        <f t="shared" si="39"/>
        <v>0</v>
      </c>
      <c r="S92" s="75">
        <f>824+131+590</f>
        <v>1545</v>
      </c>
      <c r="T92" s="74">
        <f>824+131+590</f>
        <v>1545</v>
      </c>
      <c r="U92" s="73">
        <f t="shared" si="40"/>
        <v>0</v>
      </c>
      <c r="V92" s="71">
        <f t="shared" si="41"/>
        <v>18837</v>
      </c>
      <c r="W92" s="72">
        <f t="shared" si="41"/>
        <v>18837</v>
      </c>
      <c r="X92" s="73">
        <f t="shared" si="42"/>
        <v>0</v>
      </c>
      <c r="Y92" s="75">
        <v>13657.6</v>
      </c>
      <c r="Z92" s="74">
        <v>13657.6</v>
      </c>
      <c r="AA92" s="73">
        <f t="shared" si="43"/>
        <v>0</v>
      </c>
      <c r="AB92" s="71">
        <v>4965.3999999999996</v>
      </c>
      <c r="AC92" s="72">
        <v>4965.3999999999996</v>
      </c>
      <c r="AD92" s="73">
        <f t="shared" si="44"/>
        <v>0</v>
      </c>
      <c r="AE92" s="71"/>
      <c r="AF92" s="72"/>
      <c r="AG92" s="73">
        <f t="shared" si="45"/>
        <v>0</v>
      </c>
      <c r="AH92" s="75">
        <v>214</v>
      </c>
      <c r="AI92" s="74">
        <v>214</v>
      </c>
      <c r="AJ92" s="73">
        <f t="shared" si="46"/>
        <v>0</v>
      </c>
      <c r="AL92" s="79"/>
      <c r="AM92" s="79"/>
    </row>
    <row r="93" spans="1:39" ht="26.25" customHeight="1">
      <c r="A93" s="68">
        <v>74</v>
      </c>
      <c r="B93" s="80" t="s">
        <v>36</v>
      </c>
      <c r="C93" s="70">
        <v>11845.9</v>
      </c>
      <c r="D93" s="71">
        <f t="shared" si="32"/>
        <v>16536</v>
      </c>
      <c r="E93" s="72">
        <f t="shared" si="33"/>
        <v>16536</v>
      </c>
      <c r="F93" s="73">
        <f t="shared" si="34"/>
        <v>0</v>
      </c>
      <c r="G93" s="74"/>
      <c r="H93" s="72"/>
      <c r="I93" s="73">
        <f t="shared" si="35"/>
        <v>0</v>
      </c>
      <c r="J93" s="75">
        <v>0</v>
      </c>
      <c r="K93" s="74">
        <v>0</v>
      </c>
      <c r="L93" s="76">
        <f t="shared" si="36"/>
        <v>0</v>
      </c>
      <c r="M93" s="74">
        <v>0</v>
      </c>
      <c r="N93" s="77">
        <v>0</v>
      </c>
      <c r="O93" s="73">
        <f t="shared" si="37"/>
        <v>0</v>
      </c>
      <c r="P93" s="78">
        <v>16490</v>
      </c>
      <c r="Q93" s="72">
        <f t="shared" si="38"/>
        <v>16490</v>
      </c>
      <c r="R93" s="76">
        <f t="shared" si="39"/>
        <v>0</v>
      </c>
      <c r="S93" s="75">
        <f>25+21</f>
        <v>46</v>
      </c>
      <c r="T93" s="74">
        <f>25+21</f>
        <v>46</v>
      </c>
      <c r="U93" s="73">
        <f t="shared" si="40"/>
        <v>0</v>
      </c>
      <c r="V93" s="71">
        <f t="shared" si="41"/>
        <v>22133.8</v>
      </c>
      <c r="W93" s="72">
        <f t="shared" si="41"/>
        <v>22133.8</v>
      </c>
      <c r="X93" s="73">
        <f t="shared" si="42"/>
        <v>0</v>
      </c>
      <c r="Y93" s="75">
        <v>19724.3</v>
      </c>
      <c r="Z93" s="74">
        <v>19724.3</v>
      </c>
      <c r="AA93" s="73">
        <f t="shared" si="43"/>
        <v>0</v>
      </c>
      <c r="AB93" s="71">
        <v>2403.2999999999993</v>
      </c>
      <c r="AC93" s="72">
        <v>2403.2999999999993</v>
      </c>
      <c r="AD93" s="73">
        <f t="shared" si="44"/>
        <v>0</v>
      </c>
      <c r="AE93" s="71"/>
      <c r="AF93" s="72"/>
      <c r="AG93" s="73">
        <f t="shared" si="45"/>
        <v>0</v>
      </c>
      <c r="AH93" s="75">
        <v>6.2</v>
      </c>
      <c r="AI93" s="74">
        <v>6.2</v>
      </c>
      <c r="AJ93" s="73">
        <f t="shared" si="46"/>
        <v>0</v>
      </c>
      <c r="AL93" s="79"/>
      <c r="AM93" s="79"/>
    </row>
    <row r="94" spans="1:39" ht="26.25" customHeight="1">
      <c r="A94" s="68">
        <v>75</v>
      </c>
      <c r="B94" s="80" t="s">
        <v>73</v>
      </c>
      <c r="C94" s="70">
        <v>54901</v>
      </c>
      <c r="D94" s="71">
        <f t="shared" si="32"/>
        <v>52518.299999999996</v>
      </c>
      <c r="E94" s="72">
        <f t="shared" si="33"/>
        <v>52518.299999999996</v>
      </c>
      <c r="F94" s="73">
        <f t="shared" si="34"/>
        <v>0</v>
      </c>
      <c r="G94" s="74"/>
      <c r="H94" s="72"/>
      <c r="I94" s="73">
        <f t="shared" si="35"/>
        <v>0</v>
      </c>
      <c r="J94" s="75">
        <v>0</v>
      </c>
      <c r="K94" s="74">
        <v>0</v>
      </c>
      <c r="L94" s="76">
        <f t="shared" si="36"/>
        <v>0</v>
      </c>
      <c r="M94" s="74">
        <v>0</v>
      </c>
      <c r="N94" s="77">
        <v>0</v>
      </c>
      <c r="O94" s="73">
        <f t="shared" si="37"/>
        <v>0</v>
      </c>
      <c r="P94" s="78">
        <v>52275.7</v>
      </c>
      <c r="Q94" s="72">
        <f t="shared" si="38"/>
        <v>52275.7</v>
      </c>
      <c r="R94" s="76">
        <f t="shared" si="39"/>
        <v>0</v>
      </c>
      <c r="S94" s="75">
        <f>112+23.8+106.8</f>
        <v>242.60000000000002</v>
      </c>
      <c r="T94" s="74">
        <f>112+23.8+106.8</f>
        <v>242.60000000000002</v>
      </c>
      <c r="U94" s="73">
        <f t="shared" si="40"/>
        <v>0</v>
      </c>
      <c r="V94" s="71">
        <f t="shared" si="41"/>
        <v>63938.3</v>
      </c>
      <c r="W94" s="72">
        <f t="shared" si="41"/>
        <v>63938.3</v>
      </c>
      <c r="X94" s="73">
        <f t="shared" si="42"/>
        <v>0</v>
      </c>
      <c r="Y94" s="75">
        <v>59758</v>
      </c>
      <c r="Z94" s="74">
        <v>59758</v>
      </c>
      <c r="AA94" s="73">
        <f t="shared" si="43"/>
        <v>0</v>
      </c>
      <c r="AB94" s="71">
        <v>4167.9000000000015</v>
      </c>
      <c r="AC94" s="72">
        <v>4167.9000000000015</v>
      </c>
      <c r="AD94" s="73">
        <f t="shared" si="44"/>
        <v>0</v>
      </c>
      <c r="AE94" s="71"/>
      <c r="AF94" s="72"/>
      <c r="AG94" s="73">
        <f t="shared" si="45"/>
        <v>0</v>
      </c>
      <c r="AH94" s="75">
        <v>12.4</v>
      </c>
      <c r="AI94" s="74">
        <v>12.4</v>
      </c>
      <c r="AJ94" s="73">
        <f t="shared" si="46"/>
        <v>0</v>
      </c>
      <c r="AL94" s="79"/>
      <c r="AM94" s="79"/>
    </row>
    <row r="95" spans="1:39" ht="26.25" customHeight="1">
      <c r="A95" s="68">
        <v>76</v>
      </c>
      <c r="B95" s="80" t="s">
        <v>74</v>
      </c>
      <c r="C95" s="70">
        <v>26024.2</v>
      </c>
      <c r="D95" s="71">
        <f t="shared" si="32"/>
        <v>26122.899999999998</v>
      </c>
      <c r="E95" s="72">
        <f t="shared" si="33"/>
        <v>26122.899999999998</v>
      </c>
      <c r="F95" s="73">
        <f t="shared" si="34"/>
        <v>0</v>
      </c>
      <c r="G95" s="74"/>
      <c r="H95" s="72"/>
      <c r="I95" s="73">
        <f t="shared" si="35"/>
        <v>0</v>
      </c>
      <c r="J95" s="75">
        <f>280.5+145.3</f>
        <v>425.8</v>
      </c>
      <c r="K95" s="74">
        <f>280.5+145.3</f>
        <v>425.8</v>
      </c>
      <c r="L95" s="76">
        <f t="shared" si="36"/>
        <v>0</v>
      </c>
      <c r="M95" s="74">
        <v>0</v>
      </c>
      <c r="N95" s="77">
        <v>0</v>
      </c>
      <c r="O95" s="73">
        <f t="shared" si="37"/>
        <v>0</v>
      </c>
      <c r="P95" s="78">
        <v>25569.8</v>
      </c>
      <c r="Q95" s="72">
        <f t="shared" si="38"/>
        <v>25569.8</v>
      </c>
      <c r="R95" s="76">
        <f t="shared" si="39"/>
        <v>0</v>
      </c>
      <c r="S95" s="75">
        <f>55.4+6+65.9</f>
        <v>127.30000000000001</v>
      </c>
      <c r="T95" s="74">
        <f>55.4+6+65.9</f>
        <v>127.30000000000001</v>
      </c>
      <c r="U95" s="73">
        <f t="shared" si="40"/>
        <v>0</v>
      </c>
      <c r="V95" s="71">
        <f t="shared" si="41"/>
        <v>33942.300000000003</v>
      </c>
      <c r="W95" s="72">
        <f t="shared" si="41"/>
        <v>33942.300000000003</v>
      </c>
      <c r="X95" s="73">
        <f t="shared" si="42"/>
        <v>0</v>
      </c>
      <c r="Y95" s="75">
        <v>28557.8</v>
      </c>
      <c r="Z95" s="74">
        <v>28557.8</v>
      </c>
      <c r="AA95" s="73">
        <f t="shared" si="43"/>
        <v>0</v>
      </c>
      <c r="AB95" s="71">
        <v>4328.5000000000036</v>
      </c>
      <c r="AC95" s="72">
        <v>4328.5000000000036</v>
      </c>
      <c r="AD95" s="73">
        <f t="shared" si="44"/>
        <v>0</v>
      </c>
      <c r="AE95" s="71"/>
      <c r="AF95" s="72"/>
      <c r="AG95" s="73">
        <f t="shared" si="45"/>
        <v>0</v>
      </c>
      <c r="AH95" s="75">
        <v>1056</v>
      </c>
      <c r="AI95" s="74">
        <v>1056</v>
      </c>
      <c r="AJ95" s="73">
        <f t="shared" si="46"/>
        <v>0</v>
      </c>
      <c r="AL95" s="79"/>
      <c r="AM95" s="79"/>
    </row>
    <row r="96" spans="1:39" ht="26.25" customHeight="1">
      <c r="A96" s="68">
        <v>78</v>
      </c>
      <c r="B96" s="80" t="s">
        <v>37</v>
      </c>
      <c r="C96" s="70">
        <v>3999</v>
      </c>
      <c r="D96" s="71">
        <f t="shared" si="32"/>
        <v>15220.4</v>
      </c>
      <c r="E96" s="72">
        <f t="shared" si="33"/>
        <v>15220.4</v>
      </c>
      <c r="F96" s="73">
        <f t="shared" si="34"/>
        <v>0</v>
      </c>
      <c r="G96" s="74"/>
      <c r="H96" s="72"/>
      <c r="I96" s="73">
        <f t="shared" si="35"/>
        <v>0</v>
      </c>
      <c r="J96" s="75">
        <v>0</v>
      </c>
      <c r="K96" s="74">
        <v>0</v>
      </c>
      <c r="L96" s="76">
        <f t="shared" si="36"/>
        <v>0</v>
      </c>
      <c r="M96" s="74">
        <v>0</v>
      </c>
      <c r="N96" s="77">
        <v>0</v>
      </c>
      <c r="O96" s="73">
        <f t="shared" si="37"/>
        <v>0</v>
      </c>
      <c r="P96" s="78">
        <v>15005.1</v>
      </c>
      <c r="Q96" s="72">
        <f t="shared" si="38"/>
        <v>15005.1</v>
      </c>
      <c r="R96" s="76">
        <f t="shared" si="39"/>
        <v>0</v>
      </c>
      <c r="S96" s="75">
        <f>170+18+27.3</f>
        <v>215.3</v>
      </c>
      <c r="T96" s="74">
        <f>170+18+27.3</f>
        <v>215.3</v>
      </c>
      <c r="U96" s="73">
        <f t="shared" si="40"/>
        <v>0</v>
      </c>
      <c r="V96" s="71">
        <f t="shared" si="41"/>
        <v>15471.5</v>
      </c>
      <c r="W96" s="72">
        <f t="shared" si="41"/>
        <v>15471.5</v>
      </c>
      <c r="X96" s="73">
        <f t="shared" si="42"/>
        <v>0</v>
      </c>
      <c r="Y96" s="75">
        <v>13768.8</v>
      </c>
      <c r="Z96" s="74">
        <v>13768.8</v>
      </c>
      <c r="AA96" s="73">
        <f t="shared" si="43"/>
        <v>0</v>
      </c>
      <c r="AB96" s="71">
        <v>1655</v>
      </c>
      <c r="AC96" s="72">
        <v>1655</v>
      </c>
      <c r="AD96" s="73">
        <f t="shared" si="44"/>
        <v>0</v>
      </c>
      <c r="AE96" s="71"/>
      <c r="AF96" s="72"/>
      <c r="AG96" s="73">
        <f t="shared" si="45"/>
        <v>0</v>
      </c>
      <c r="AH96" s="75">
        <v>47.7</v>
      </c>
      <c r="AI96" s="74">
        <v>47.7</v>
      </c>
      <c r="AJ96" s="73">
        <f t="shared" si="46"/>
        <v>0</v>
      </c>
      <c r="AL96" s="79"/>
      <c r="AM96" s="79"/>
    </row>
    <row r="97" spans="1:39" ht="26.25" customHeight="1">
      <c r="A97" s="68">
        <v>79</v>
      </c>
      <c r="B97" s="89" t="s">
        <v>75</v>
      </c>
      <c r="C97" s="70">
        <v>5244.7</v>
      </c>
      <c r="D97" s="71">
        <f t="shared" si="32"/>
        <v>13572.9</v>
      </c>
      <c r="E97" s="72">
        <f t="shared" si="33"/>
        <v>13572.9</v>
      </c>
      <c r="F97" s="73">
        <f t="shared" si="34"/>
        <v>0</v>
      </c>
      <c r="G97" s="74"/>
      <c r="H97" s="72"/>
      <c r="I97" s="73">
        <f t="shared" si="35"/>
        <v>0</v>
      </c>
      <c r="J97" s="75">
        <v>149</v>
      </c>
      <c r="K97" s="74">
        <v>149</v>
      </c>
      <c r="L97" s="76">
        <f t="shared" si="36"/>
        <v>0</v>
      </c>
      <c r="M97" s="74">
        <v>0</v>
      </c>
      <c r="N97" s="77">
        <v>0</v>
      </c>
      <c r="O97" s="73">
        <f t="shared" si="37"/>
        <v>0</v>
      </c>
      <c r="P97" s="78">
        <v>13387.9</v>
      </c>
      <c r="Q97" s="72">
        <f t="shared" si="38"/>
        <v>13387.9</v>
      </c>
      <c r="R97" s="76">
        <f t="shared" si="39"/>
        <v>0</v>
      </c>
      <c r="S97" s="75">
        <f>30+6</f>
        <v>36</v>
      </c>
      <c r="T97" s="74">
        <f>30+6</f>
        <v>36</v>
      </c>
      <c r="U97" s="73">
        <f t="shared" si="40"/>
        <v>0</v>
      </c>
      <c r="V97" s="71">
        <f t="shared" si="41"/>
        <v>14320.6</v>
      </c>
      <c r="W97" s="72">
        <f t="shared" si="41"/>
        <v>14320.6</v>
      </c>
      <c r="X97" s="73">
        <f t="shared" si="42"/>
        <v>0</v>
      </c>
      <c r="Y97" s="75">
        <v>12044.8</v>
      </c>
      <c r="Z97" s="74">
        <v>12044.8</v>
      </c>
      <c r="AA97" s="73">
        <f t="shared" si="43"/>
        <v>0</v>
      </c>
      <c r="AB97" s="71">
        <v>2235.7000000000007</v>
      </c>
      <c r="AC97" s="72">
        <v>2235.7000000000007</v>
      </c>
      <c r="AD97" s="73">
        <f t="shared" si="44"/>
        <v>0</v>
      </c>
      <c r="AE97" s="71"/>
      <c r="AF97" s="72"/>
      <c r="AG97" s="73">
        <f t="shared" si="45"/>
        <v>0</v>
      </c>
      <c r="AH97" s="75">
        <v>40.1</v>
      </c>
      <c r="AI97" s="74">
        <v>40.1</v>
      </c>
      <c r="AJ97" s="73">
        <f t="shared" si="46"/>
        <v>0</v>
      </c>
      <c r="AL97" s="79"/>
      <c r="AM97" s="79"/>
    </row>
    <row r="98" spans="1:39" ht="26.25" customHeight="1">
      <c r="A98" s="68">
        <v>80</v>
      </c>
      <c r="B98" s="89" t="s">
        <v>76</v>
      </c>
      <c r="C98" s="70">
        <v>2718.1</v>
      </c>
      <c r="D98" s="71">
        <f t="shared" si="32"/>
        <v>6654</v>
      </c>
      <c r="E98" s="72">
        <f t="shared" si="33"/>
        <v>6654</v>
      </c>
      <c r="F98" s="73">
        <f t="shared" si="34"/>
        <v>0</v>
      </c>
      <c r="G98" s="74"/>
      <c r="H98" s="72"/>
      <c r="I98" s="73">
        <f t="shared" si="35"/>
        <v>0</v>
      </c>
      <c r="J98" s="75">
        <v>0</v>
      </c>
      <c r="K98" s="74">
        <v>0</v>
      </c>
      <c r="L98" s="76">
        <f t="shared" si="36"/>
        <v>0</v>
      </c>
      <c r="M98" s="74">
        <v>0</v>
      </c>
      <c r="N98" s="77">
        <v>0</v>
      </c>
      <c r="O98" s="73">
        <f t="shared" si="37"/>
        <v>0</v>
      </c>
      <c r="P98" s="78">
        <v>6623</v>
      </c>
      <c r="Q98" s="72">
        <f t="shared" si="38"/>
        <v>6623</v>
      </c>
      <c r="R98" s="76">
        <f t="shared" si="39"/>
        <v>0</v>
      </c>
      <c r="S98" s="75">
        <f>25+6</f>
        <v>31</v>
      </c>
      <c r="T98" s="74">
        <f>25+6</f>
        <v>31</v>
      </c>
      <c r="U98" s="73">
        <f t="shared" si="40"/>
        <v>0</v>
      </c>
      <c r="V98" s="71">
        <f t="shared" si="41"/>
        <v>9288.4</v>
      </c>
      <c r="W98" s="72">
        <f t="shared" si="41"/>
        <v>9288.4</v>
      </c>
      <c r="X98" s="73">
        <f t="shared" si="42"/>
        <v>0</v>
      </c>
      <c r="Y98" s="75">
        <v>7677.4</v>
      </c>
      <c r="Z98" s="74">
        <v>7677.4</v>
      </c>
      <c r="AA98" s="73">
        <f t="shared" si="43"/>
        <v>0</v>
      </c>
      <c r="AB98" s="71">
        <v>1596</v>
      </c>
      <c r="AC98" s="72">
        <v>1596</v>
      </c>
      <c r="AD98" s="73">
        <f t="shared" si="44"/>
        <v>0</v>
      </c>
      <c r="AE98" s="71"/>
      <c r="AF98" s="72"/>
      <c r="AG98" s="73">
        <f t="shared" si="45"/>
        <v>0</v>
      </c>
      <c r="AH98" s="75">
        <v>15</v>
      </c>
      <c r="AI98" s="74">
        <v>15</v>
      </c>
      <c r="AJ98" s="73">
        <f t="shared" si="46"/>
        <v>0</v>
      </c>
      <c r="AL98" s="79"/>
      <c r="AM98" s="79"/>
    </row>
    <row r="99" spans="1:39" ht="26.25" customHeight="1">
      <c r="A99" s="68">
        <v>81</v>
      </c>
      <c r="B99" s="89" t="s">
        <v>77</v>
      </c>
      <c r="C99" s="70">
        <v>2672.1</v>
      </c>
      <c r="D99" s="71">
        <f t="shared" si="32"/>
        <v>6364</v>
      </c>
      <c r="E99" s="72">
        <f t="shared" si="33"/>
        <v>6364</v>
      </c>
      <c r="F99" s="73">
        <f t="shared" si="34"/>
        <v>0</v>
      </c>
      <c r="G99" s="74"/>
      <c r="H99" s="72"/>
      <c r="I99" s="73">
        <f t="shared" si="35"/>
        <v>0</v>
      </c>
      <c r="J99" s="75">
        <v>0</v>
      </c>
      <c r="K99" s="74">
        <v>0</v>
      </c>
      <c r="L99" s="76">
        <f t="shared" si="36"/>
        <v>0</v>
      </c>
      <c r="M99" s="74">
        <v>0</v>
      </c>
      <c r="N99" s="77">
        <v>0</v>
      </c>
      <c r="O99" s="73">
        <f t="shared" si="37"/>
        <v>0</v>
      </c>
      <c r="P99" s="78">
        <v>6328</v>
      </c>
      <c r="Q99" s="72">
        <f t="shared" si="38"/>
        <v>6328</v>
      </c>
      <c r="R99" s="76">
        <f t="shared" si="39"/>
        <v>0</v>
      </c>
      <c r="S99" s="75">
        <f>30+6</f>
        <v>36</v>
      </c>
      <c r="T99" s="74">
        <f>30+6</f>
        <v>36</v>
      </c>
      <c r="U99" s="73">
        <f t="shared" si="40"/>
        <v>0</v>
      </c>
      <c r="V99" s="71">
        <f t="shared" si="41"/>
        <v>9035.9</v>
      </c>
      <c r="W99" s="72">
        <f t="shared" si="41"/>
        <v>9035.9</v>
      </c>
      <c r="X99" s="73">
        <f t="shared" si="42"/>
        <v>0</v>
      </c>
      <c r="Y99" s="75">
        <v>5953</v>
      </c>
      <c r="Z99" s="74">
        <v>5953</v>
      </c>
      <c r="AA99" s="73">
        <f t="shared" si="43"/>
        <v>0</v>
      </c>
      <c r="AB99" s="71">
        <v>3082.8999999999996</v>
      </c>
      <c r="AC99" s="72">
        <v>3082.8999999999996</v>
      </c>
      <c r="AD99" s="73">
        <f t="shared" si="44"/>
        <v>0</v>
      </c>
      <c r="AE99" s="71"/>
      <c r="AF99" s="72"/>
      <c r="AG99" s="73">
        <f t="shared" si="45"/>
        <v>0</v>
      </c>
      <c r="AH99" s="75">
        <v>0</v>
      </c>
      <c r="AI99" s="74">
        <v>0</v>
      </c>
      <c r="AJ99" s="73">
        <f t="shared" si="46"/>
        <v>0</v>
      </c>
      <c r="AL99" s="79"/>
      <c r="AM99" s="79"/>
    </row>
    <row r="100" spans="1:39" ht="26.25" customHeight="1">
      <c r="A100" s="68">
        <v>83</v>
      </c>
      <c r="B100" s="89" t="s">
        <v>78</v>
      </c>
      <c r="C100" s="70">
        <v>9203</v>
      </c>
      <c r="D100" s="71">
        <f t="shared" si="32"/>
        <v>14575.8</v>
      </c>
      <c r="E100" s="72">
        <f t="shared" si="33"/>
        <v>14575.8</v>
      </c>
      <c r="F100" s="73">
        <f t="shared" si="34"/>
        <v>0</v>
      </c>
      <c r="G100" s="74"/>
      <c r="H100" s="72"/>
      <c r="I100" s="73">
        <f t="shared" si="35"/>
        <v>0</v>
      </c>
      <c r="J100" s="75">
        <v>0</v>
      </c>
      <c r="K100" s="74">
        <v>0</v>
      </c>
      <c r="L100" s="76">
        <f t="shared" si="36"/>
        <v>0</v>
      </c>
      <c r="M100" s="74">
        <v>0</v>
      </c>
      <c r="N100" s="77">
        <v>0</v>
      </c>
      <c r="O100" s="73">
        <f t="shared" si="37"/>
        <v>0</v>
      </c>
      <c r="P100" s="78">
        <v>14524.8</v>
      </c>
      <c r="Q100" s="72">
        <f t="shared" si="38"/>
        <v>14524.8</v>
      </c>
      <c r="R100" s="76">
        <f t="shared" si="39"/>
        <v>0</v>
      </c>
      <c r="S100" s="75">
        <f>39+6+6</f>
        <v>51</v>
      </c>
      <c r="T100" s="74">
        <f>39+6+6</f>
        <v>51</v>
      </c>
      <c r="U100" s="73">
        <f t="shared" si="40"/>
        <v>0</v>
      </c>
      <c r="V100" s="71">
        <f t="shared" si="41"/>
        <v>12406.9</v>
      </c>
      <c r="W100" s="72">
        <f t="shared" si="41"/>
        <v>12406.9</v>
      </c>
      <c r="X100" s="73">
        <f t="shared" si="42"/>
        <v>0</v>
      </c>
      <c r="Y100" s="75">
        <v>11852.6</v>
      </c>
      <c r="Z100" s="74">
        <v>11852.6</v>
      </c>
      <c r="AA100" s="73">
        <f t="shared" si="43"/>
        <v>0</v>
      </c>
      <c r="AB100" s="71">
        <v>545.79999999999927</v>
      </c>
      <c r="AC100" s="72">
        <v>545.79999999999927</v>
      </c>
      <c r="AD100" s="73">
        <f t="shared" si="44"/>
        <v>0</v>
      </c>
      <c r="AE100" s="71"/>
      <c r="AF100" s="72"/>
      <c r="AG100" s="73">
        <f t="shared" si="45"/>
        <v>0</v>
      </c>
      <c r="AH100" s="75">
        <v>8.5</v>
      </c>
      <c r="AI100" s="74">
        <v>8.5</v>
      </c>
      <c r="AJ100" s="73">
        <f t="shared" si="46"/>
        <v>0</v>
      </c>
      <c r="AL100" s="79"/>
      <c r="AM100" s="79"/>
    </row>
    <row r="101" spans="1:39" ht="26.25" customHeight="1">
      <c r="A101" s="68">
        <v>84</v>
      </c>
      <c r="B101" s="89" t="s">
        <v>79</v>
      </c>
      <c r="C101" s="70">
        <v>9069.4</v>
      </c>
      <c r="D101" s="71">
        <f t="shared" si="32"/>
        <v>48614.1</v>
      </c>
      <c r="E101" s="72">
        <f t="shared" si="33"/>
        <v>48614.1</v>
      </c>
      <c r="F101" s="73">
        <f t="shared" si="34"/>
        <v>0</v>
      </c>
      <c r="G101" s="74"/>
      <c r="H101" s="72"/>
      <c r="I101" s="73">
        <f t="shared" si="35"/>
        <v>0</v>
      </c>
      <c r="J101" s="75">
        <v>5861</v>
      </c>
      <c r="K101" s="74">
        <v>5861</v>
      </c>
      <c r="L101" s="76">
        <f t="shared" si="36"/>
        <v>0</v>
      </c>
      <c r="M101" s="74">
        <v>0</v>
      </c>
      <c r="N101" s="77">
        <v>0</v>
      </c>
      <c r="O101" s="73">
        <f t="shared" si="37"/>
        <v>0</v>
      </c>
      <c r="P101" s="78">
        <v>42549.599999999999</v>
      </c>
      <c r="Q101" s="72">
        <f t="shared" si="38"/>
        <v>42549.599999999999</v>
      </c>
      <c r="R101" s="76">
        <f t="shared" si="39"/>
        <v>0</v>
      </c>
      <c r="S101" s="75">
        <f>90+6+107.5</f>
        <v>203.5</v>
      </c>
      <c r="T101" s="74">
        <f>90+6+107.5</f>
        <v>203.5</v>
      </c>
      <c r="U101" s="73">
        <f t="shared" si="40"/>
        <v>0</v>
      </c>
      <c r="V101" s="71">
        <f t="shared" si="41"/>
        <v>42828.4</v>
      </c>
      <c r="W101" s="72">
        <f t="shared" si="41"/>
        <v>42828.4</v>
      </c>
      <c r="X101" s="73">
        <f t="shared" si="42"/>
        <v>0</v>
      </c>
      <c r="Y101" s="75">
        <v>36408.199999999997</v>
      </c>
      <c r="Z101" s="74">
        <v>36408.199999999997</v>
      </c>
      <c r="AA101" s="73">
        <f>Y101-Z101</f>
        <v>0</v>
      </c>
      <c r="AB101" s="71">
        <v>5871.2000000000044</v>
      </c>
      <c r="AC101" s="72">
        <v>5871.2000000000044</v>
      </c>
      <c r="AD101" s="73">
        <f t="shared" si="44"/>
        <v>0</v>
      </c>
      <c r="AE101" s="71"/>
      <c r="AF101" s="72"/>
      <c r="AG101" s="73">
        <f t="shared" si="45"/>
        <v>0</v>
      </c>
      <c r="AH101" s="75">
        <v>549</v>
      </c>
      <c r="AI101" s="74">
        <v>549</v>
      </c>
      <c r="AJ101" s="73">
        <f t="shared" si="46"/>
        <v>0</v>
      </c>
      <c r="AL101" s="79"/>
      <c r="AM101" s="79"/>
    </row>
    <row r="102" spans="1:39" ht="26.25" customHeight="1">
      <c r="A102" s="68">
        <v>85</v>
      </c>
      <c r="B102" s="89" t="s">
        <v>80</v>
      </c>
      <c r="C102" s="70">
        <v>4190.6000000000004</v>
      </c>
      <c r="D102" s="71">
        <f t="shared" si="32"/>
        <v>18263.600000000002</v>
      </c>
      <c r="E102" s="72">
        <f t="shared" si="33"/>
        <v>18263.600000000002</v>
      </c>
      <c r="F102" s="73">
        <f t="shared" si="34"/>
        <v>0</v>
      </c>
      <c r="G102" s="74"/>
      <c r="H102" s="72"/>
      <c r="I102" s="73">
        <f t="shared" si="35"/>
        <v>0</v>
      </c>
      <c r="J102" s="75">
        <f>242.9+0</f>
        <v>242.9</v>
      </c>
      <c r="K102" s="74">
        <f>242.9+0</f>
        <v>242.9</v>
      </c>
      <c r="L102" s="76">
        <f t="shared" si="36"/>
        <v>0</v>
      </c>
      <c r="M102" s="74">
        <v>0</v>
      </c>
      <c r="N102" s="77">
        <v>0</v>
      </c>
      <c r="O102" s="73">
        <f t="shared" si="37"/>
        <v>0</v>
      </c>
      <c r="P102" s="78">
        <v>17798</v>
      </c>
      <c r="Q102" s="72">
        <f t="shared" si="38"/>
        <v>17798</v>
      </c>
      <c r="R102" s="76">
        <f t="shared" si="39"/>
        <v>0</v>
      </c>
      <c r="S102" s="75">
        <f>166.7+20+33.3+2.7</f>
        <v>222.7</v>
      </c>
      <c r="T102" s="74">
        <f>166.7+20+33.3+2.7</f>
        <v>222.7</v>
      </c>
      <c r="U102" s="73">
        <f t="shared" si="40"/>
        <v>0</v>
      </c>
      <c r="V102" s="71">
        <f t="shared" si="41"/>
        <v>19635.8</v>
      </c>
      <c r="W102" s="72">
        <f t="shared" si="41"/>
        <v>19635.8</v>
      </c>
      <c r="X102" s="73">
        <f t="shared" si="42"/>
        <v>0</v>
      </c>
      <c r="Y102" s="75">
        <v>16971.2</v>
      </c>
      <c r="Z102" s="74">
        <v>16971.2</v>
      </c>
      <c r="AA102" s="73">
        <f t="shared" si="43"/>
        <v>0</v>
      </c>
      <c r="AB102" s="71">
        <v>2560.2999999999993</v>
      </c>
      <c r="AC102" s="72">
        <v>2560.2999999999993</v>
      </c>
      <c r="AD102" s="73">
        <f t="shared" si="44"/>
        <v>0</v>
      </c>
      <c r="AE102" s="71"/>
      <c r="AF102" s="72"/>
      <c r="AG102" s="73">
        <f t="shared" si="45"/>
        <v>0</v>
      </c>
      <c r="AH102" s="75">
        <v>104.3</v>
      </c>
      <c r="AI102" s="74">
        <v>104.3</v>
      </c>
      <c r="AJ102" s="73">
        <f t="shared" si="46"/>
        <v>0</v>
      </c>
      <c r="AL102" s="79"/>
      <c r="AM102" s="79"/>
    </row>
    <row r="103" spans="1:39" ht="26.25" customHeight="1">
      <c r="A103" s="68">
        <v>86</v>
      </c>
      <c r="B103" s="89" t="s">
        <v>81</v>
      </c>
      <c r="C103" s="70">
        <v>5677.3</v>
      </c>
      <c r="D103" s="71">
        <f t="shared" si="32"/>
        <v>21508.1</v>
      </c>
      <c r="E103" s="72">
        <f t="shared" si="33"/>
        <v>21508.1</v>
      </c>
      <c r="F103" s="73">
        <f t="shared" si="34"/>
        <v>0</v>
      </c>
      <c r="G103" s="74"/>
      <c r="H103" s="72"/>
      <c r="I103" s="73">
        <f t="shared" si="35"/>
        <v>0</v>
      </c>
      <c r="J103" s="75">
        <v>0</v>
      </c>
      <c r="K103" s="74">
        <v>0</v>
      </c>
      <c r="L103" s="76">
        <f t="shared" si="36"/>
        <v>0</v>
      </c>
      <c r="M103" s="74">
        <v>0</v>
      </c>
      <c r="N103" s="77">
        <v>0</v>
      </c>
      <c r="O103" s="73">
        <f t="shared" si="37"/>
        <v>0</v>
      </c>
      <c r="P103" s="78">
        <v>21431</v>
      </c>
      <c r="Q103" s="72">
        <f t="shared" si="38"/>
        <v>21431</v>
      </c>
      <c r="R103" s="76">
        <f t="shared" si="39"/>
        <v>0</v>
      </c>
      <c r="S103" s="75">
        <f>40+6+31.1</f>
        <v>77.099999999999994</v>
      </c>
      <c r="T103" s="74">
        <f>40+6+31.1</f>
        <v>77.099999999999994</v>
      </c>
      <c r="U103" s="73">
        <f t="shared" si="40"/>
        <v>0</v>
      </c>
      <c r="V103" s="71">
        <f t="shared" si="41"/>
        <v>24741.9</v>
      </c>
      <c r="W103" s="72">
        <f t="shared" si="41"/>
        <v>24741.9</v>
      </c>
      <c r="X103" s="73">
        <f t="shared" si="42"/>
        <v>0</v>
      </c>
      <c r="Y103" s="75">
        <v>21865.9</v>
      </c>
      <c r="Z103" s="74">
        <v>21865.9</v>
      </c>
      <c r="AA103" s="73">
        <f t="shared" si="43"/>
        <v>0</v>
      </c>
      <c r="AB103" s="71">
        <v>2626</v>
      </c>
      <c r="AC103" s="72">
        <v>2626</v>
      </c>
      <c r="AD103" s="73">
        <f t="shared" si="44"/>
        <v>0</v>
      </c>
      <c r="AE103" s="71"/>
      <c r="AF103" s="72"/>
      <c r="AG103" s="73">
        <f t="shared" si="45"/>
        <v>0</v>
      </c>
      <c r="AH103" s="75">
        <v>250</v>
      </c>
      <c r="AI103" s="74">
        <v>250</v>
      </c>
      <c r="AJ103" s="73">
        <f t="shared" si="46"/>
        <v>0</v>
      </c>
      <c r="AL103" s="79"/>
      <c r="AM103" s="79"/>
    </row>
    <row r="104" spans="1:39" ht="26.25" customHeight="1">
      <c r="A104" s="68">
        <v>87</v>
      </c>
      <c r="B104" s="80" t="s">
        <v>82</v>
      </c>
      <c r="C104" s="70">
        <v>13345.4</v>
      </c>
      <c r="D104" s="71">
        <f t="shared" si="32"/>
        <v>15545.2</v>
      </c>
      <c r="E104" s="72">
        <f t="shared" si="33"/>
        <v>15545.2</v>
      </c>
      <c r="F104" s="73">
        <f t="shared" si="34"/>
        <v>0</v>
      </c>
      <c r="G104" s="74"/>
      <c r="H104" s="72"/>
      <c r="I104" s="73">
        <f t="shared" si="35"/>
        <v>0</v>
      </c>
      <c r="J104" s="75">
        <v>0</v>
      </c>
      <c r="K104" s="74">
        <v>0</v>
      </c>
      <c r="L104" s="76">
        <f t="shared" si="36"/>
        <v>0</v>
      </c>
      <c r="M104" s="74">
        <v>0</v>
      </c>
      <c r="N104" s="77">
        <v>0</v>
      </c>
      <c r="O104" s="73">
        <f t="shared" si="37"/>
        <v>0</v>
      </c>
      <c r="P104" s="78">
        <v>15407.2</v>
      </c>
      <c r="Q104" s="72">
        <f t="shared" si="38"/>
        <v>15407.2</v>
      </c>
      <c r="R104" s="76">
        <f t="shared" si="39"/>
        <v>0</v>
      </c>
      <c r="S104" s="75">
        <f>50+6+33+49</f>
        <v>138</v>
      </c>
      <c r="T104" s="74">
        <f>50+6+33+49</f>
        <v>138</v>
      </c>
      <c r="U104" s="73">
        <f t="shared" si="40"/>
        <v>0</v>
      </c>
      <c r="V104" s="71">
        <f t="shared" si="41"/>
        <v>18579.599999999999</v>
      </c>
      <c r="W104" s="72">
        <f t="shared" si="41"/>
        <v>18579.599999999999</v>
      </c>
      <c r="X104" s="73">
        <f t="shared" si="42"/>
        <v>0</v>
      </c>
      <c r="Y104" s="75">
        <v>16608.599999999999</v>
      </c>
      <c r="Z104" s="74">
        <v>16608.599999999999</v>
      </c>
      <c r="AA104" s="73">
        <f t="shared" si="43"/>
        <v>0</v>
      </c>
      <c r="AB104" s="71">
        <v>1945.9000000000015</v>
      </c>
      <c r="AC104" s="72">
        <v>1945.9000000000015</v>
      </c>
      <c r="AD104" s="73">
        <f t="shared" si="44"/>
        <v>0</v>
      </c>
      <c r="AE104" s="71"/>
      <c r="AF104" s="72"/>
      <c r="AG104" s="73">
        <f t="shared" si="45"/>
        <v>0</v>
      </c>
      <c r="AH104" s="75">
        <v>25.1</v>
      </c>
      <c r="AI104" s="74">
        <v>25.1</v>
      </c>
      <c r="AJ104" s="73">
        <f t="shared" si="46"/>
        <v>0</v>
      </c>
      <c r="AL104" s="79"/>
      <c r="AM104" s="79"/>
    </row>
    <row r="105" spans="1:39" ht="27" customHeight="1">
      <c r="A105" s="68">
        <v>89</v>
      </c>
      <c r="B105" s="69" t="s">
        <v>96</v>
      </c>
      <c r="C105" s="70">
        <v>22254.400000000001</v>
      </c>
      <c r="D105" s="71">
        <f t="shared" si="32"/>
        <v>53148.800000000003</v>
      </c>
      <c r="E105" s="72">
        <f t="shared" si="33"/>
        <v>53148.800000000003</v>
      </c>
      <c r="F105" s="73">
        <f t="shared" si="34"/>
        <v>0</v>
      </c>
      <c r="G105" s="74"/>
      <c r="H105" s="72"/>
      <c r="I105" s="73">
        <f t="shared" si="35"/>
        <v>0</v>
      </c>
      <c r="J105" s="75">
        <v>0</v>
      </c>
      <c r="K105" s="74">
        <v>0</v>
      </c>
      <c r="L105" s="76">
        <f t="shared" si="36"/>
        <v>0</v>
      </c>
      <c r="M105" s="74">
        <v>0</v>
      </c>
      <c r="N105" s="77">
        <v>0</v>
      </c>
      <c r="O105" s="73">
        <f t="shared" si="37"/>
        <v>0</v>
      </c>
      <c r="P105" s="78">
        <v>53058.9</v>
      </c>
      <c r="Q105" s="72">
        <f t="shared" si="38"/>
        <v>53058.9</v>
      </c>
      <c r="R105" s="76">
        <f t="shared" si="39"/>
        <v>0</v>
      </c>
      <c r="S105" s="75">
        <f>13.8+11.2+64.9</f>
        <v>89.9</v>
      </c>
      <c r="T105" s="74">
        <f>13.8+11.2+64.9</f>
        <v>89.9</v>
      </c>
      <c r="U105" s="73">
        <f t="shared" si="40"/>
        <v>0</v>
      </c>
      <c r="V105" s="71">
        <f t="shared" ref="V105:W120" si="47">Y105+AB105+AE105+AH105</f>
        <v>64628.4</v>
      </c>
      <c r="W105" s="72">
        <f t="shared" si="47"/>
        <v>64628.4</v>
      </c>
      <c r="X105" s="73">
        <f t="shared" si="42"/>
        <v>0</v>
      </c>
      <c r="Y105" s="75">
        <v>58215.6</v>
      </c>
      <c r="Z105" s="74">
        <v>58215.6</v>
      </c>
      <c r="AA105" s="73">
        <f t="shared" si="43"/>
        <v>0</v>
      </c>
      <c r="AB105" s="71">
        <v>6410</v>
      </c>
      <c r="AC105" s="72">
        <v>6410</v>
      </c>
      <c r="AD105" s="73">
        <f t="shared" si="44"/>
        <v>0</v>
      </c>
      <c r="AE105" s="71"/>
      <c r="AF105" s="72"/>
      <c r="AG105" s="73">
        <f t="shared" si="45"/>
        <v>0</v>
      </c>
      <c r="AH105" s="75">
        <v>2.8</v>
      </c>
      <c r="AI105" s="74">
        <v>2.8</v>
      </c>
      <c r="AJ105" s="73">
        <f t="shared" si="46"/>
        <v>0</v>
      </c>
      <c r="AL105" s="79"/>
      <c r="AM105" s="79"/>
    </row>
    <row r="106" spans="1:39" ht="27" customHeight="1">
      <c r="A106" s="68">
        <v>90</v>
      </c>
      <c r="B106" s="80" t="s">
        <v>97</v>
      </c>
      <c r="C106" s="70">
        <v>5320</v>
      </c>
      <c r="D106" s="71">
        <f t="shared" si="32"/>
        <v>48143.5</v>
      </c>
      <c r="E106" s="72">
        <f t="shared" si="33"/>
        <v>48143.5</v>
      </c>
      <c r="F106" s="73">
        <f t="shared" si="34"/>
        <v>0</v>
      </c>
      <c r="G106" s="74"/>
      <c r="H106" s="72"/>
      <c r="I106" s="73">
        <f t="shared" si="35"/>
        <v>0</v>
      </c>
      <c r="J106" s="75">
        <v>0</v>
      </c>
      <c r="K106" s="74">
        <v>0</v>
      </c>
      <c r="L106" s="76">
        <f t="shared" si="36"/>
        <v>0</v>
      </c>
      <c r="M106" s="74">
        <v>14459.4</v>
      </c>
      <c r="N106" s="90">
        <v>14459.4</v>
      </c>
      <c r="O106" s="73">
        <f t="shared" si="37"/>
        <v>0</v>
      </c>
      <c r="P106" s="78">
        <v>33440.1</v>
      </c>
      <c r="Q106" s="72">
        <f t="shared" si="38"/>
        <v>33440.1</v>
      </c>
      <c r="R106" s="76">
        <f t="shared" si="39"/>
        <v>0</v>
      </c>
      <c r="S106" s="75">
        <f>233.1+10.9</f>
        <v>244</v>
      </c>
      <c r="T106" s="74">
        <f>233.1+10.9</f>
        <v>244</v>
      </c>
      <c r="U106" s="73">
        <f t="shared" si="40"/>
        <v>0</v>
      </c>
      <c r="V106" s="71">
        <f t="shared" si="47"/>
        <v>36055.9</v>
      </c>
      <c r="W106" s="72">
        <f t="shared" si="47"/>
        <v>36055.9</v>
      </c>
      <c r="X106" s="73">
        <f t="shared" si="42"/>
        <v>0</v>
      </c>
      <c r="Y106" s="75">
        <v>31277.9</v>
      </c>
      <c r="Z106" s="74">
        <v>31277.9</v>
      </c>
      <c r="AA106" s="73">
        <f t="shared" si="43"/>
        <v>0</v>
      </c>
      <c r="AB106" s="71">
        <v>4698.5</v>
      </c>
      <c r="AC106" s="72">
        <v>4698.5</v>
      </c>
      <c r="AD106" s="73">
        <f t="shared" si="44"/>
        <v>0</v>
      </c>
      <c r="AE106" s="71"/>
      <c r="AF106" s="72"/>
      <c r="AG106" s="73">
        <f t="shared" si="45"/>
        <v>0</v>
      </c>
      <c r="AH106" s="75">
        <v>79.5</v>
      </c>
      <c r="AI106" s="74">
        <v>79.5</v>
      </c>
      <c r="AJ106" s="73">
        <f t="shared" si="46"/>
        <v>0</v>
      </c>
      <c r="AL106" s="79"/>
      <c r="AM106" s="79"/>
    </row>
    <row r="107" spans="1:39" ht="27" customHeight="1">
      <c r="A107" s="68">
        <v>91</v>
      </c>
      <c r="B107" s="80" t="s">
        <v>98</v>
      </c>
      <c r="C107" s="70">
        <v>10677.7</v>
      </c>
      <c r="D107" s="71">
        <f t="shared" si="32"/>
        <v>22456.199999999997</v>
      </c>
      <c r="E107" s="72">
        <f t="shared" si="33"/>
        <v>22456.199999999997</v>
      </c>
      <c r="F107" s="73">
        <f t="shared" si="34"/>
        <v>0</v>
      </c>
      <c r="G107" s="74"/>
      <c r="H107" s="72"/>
      <c r="I107" s="73">
        <f t="shared" si="35"/>
        <v>0</v>
      </c>
      <c r="J107" s="75">
        <v>0</v>
      </c>
      <c r="K107" s="74">
        <v>0</v>
      </c>
      <c r="L107" s="76">
        <f t="shared" si="36"/>
        <v>0</v>
      </c>
      <c r="M107" s="74">
        <v>0</v>
      </c>
      <c r="N107" s="77">
        <v>0</v>
      </c>
      <c r="O107" s="73">
        <f t="shared" si="37"/>
        <v>0</v>
      </c>
      <c r="P107" s="78">
        <v>22353.599999999999</v>
      </c>
      <c r="Q107" s="72">
        <f t="shared" si="38"/>
        <v>22353.599999999999</v>
      </c>
      <c r="R107" s="76">
        <f t="shared" si="39"/>
        <v>0</v>
      </c>
      <c r="S107" s="75">
        <f>87.3+15+0.3</f>
        <v>102.6</v>
      </c>
      <c r="T107" s="74">
        <f>87.3+15+0.3</f>
        <v>102.6</v>
      </c>
      <c r="U107" s="73">
        <f t="shared" si="40"/>
        <v>0</v>
      </c>
      <c r="V107" s="71">
        <f t="shared" si="47"/>
        <v>23950</v>
      </c>
      <c r="W107" s="72">
        <f t="shared" si="47"/>
        <v>23950</v>
      </c>
      <c r="X107" s="73">
        <f t="shared" si="42"/>
        <v>0</v>
      </c>
      <c r="Y107" s="75">
        <v>22293.9</v>
      </c>
      <c r="Z107" s="74">
        <v>22293.9</v>
      </c>
      <c r="AA107" s="73">
        <f t="shared" si="43"/>
        <v>0</v>
      </c>
      <c r="AB107" s="71">
        <v>1654.8999999999978</v>
      </c>
      <c r="AC107" s="72">
        <v>1654.8999999999978</v>
      </c>
      <c r="AD107" s="73">
        <f t="shared" si="44"/>
        <v>0</v>
      </c>
      <c r="AE107" s="71"/>
      <c r="AF107" s="72"/>
      <c r="AG107" s="73">
        <f t="shared" si="45"/>
        <v>0</v>
      </c>
      <c r="AH107" s="75">
        <v>1.2</v>
      </c>
      <c r="AI107" s="74">
        <v>1.2</v>
      </c>
      <c r="AJ107" s="73">
        <f t="shared" si="46"/>
        <v>0</v>
      </c>
      <c r="AL107" s="79"/>
      <c r="AM107" s="79"/>
    </row>
    <row r="108" spans="1:39" ht="27" customHeight="1">
      <c r="A108" s="68">
        <v>92</v>
      </c>
      <c r="B108" s="80" t="s">
        <v>99</v>
      </c>
      <c r="C108" s="70">
        <v>10933.2</v>
      </c>
      <c r="D108" s="71">
        <f t="shared" si="32"/>
        <v>11028.699999999999</v>
      </c>
      <c r="E108" s="72">
        <f t="shared" si="33"/>
        <v>11028.699999999999</v>
      </c>
      <c r="F108" s="73">
        <f t="shared" si="34"/>
        <v>0</v>
      </c>
      <c r="G108" s="74"/>
      <c r="H108" s="72"/>
      <c r="I108" s="73">
        <f t="shared" si="35"/>
        <v>0</v>
      </c>
      <c r="J108" s="75">
        <v>0</v>
      </c>
      <c r="K108" s="74">
        <v>0</v>
      </c>
      <c r="L108" s="76">
        <f t="shared" si="36"/>
        <v>0</v>
      </c>
      <c r="M108" s="74">
        <v>0</v>
      </c>
      <c r="N108" s="77">
        <v>0</v>
      </c>
      <c r="O108" s="73">
        <f t="shared" si="37"/>
        <v>0</v>
      </c>
      <c r="P108" s="78">
        <v>10967.4</v>
      </c>
      <c r="Q108" s="72">
        <f t="shared" si="38"/>
        <v>10967.4</v>
      </c>
      <c r="R108" s="76">
        <f t="shared" si="39"/>
        <v>0</v>
      </c>
      <c r="S108" s="75">
        <f>10.8+25.1+25.1+0.3</f>
        <v>61.300000000000004</v>
      </c>
      <c r="T108" s="74">
        <f>10.8+25.1+25.1+0.3</f>
        <v>61.300000000000004</v>
      </c>
      <c r="U108" s="73">
        <f t="shared" si="40"/>
        <v>0</v>
      </c>
      <c r="V108" s="71">
        <f t="shared" si="47"/>
        <v>10453</v>
      </c>
      <c r="W108" s="72">
        <f t="shared" si="47"/>
        <v>10453</v>
      </c>
      <c r="X108" s="73">
        <f t="shared" si="42"/>
        <v>0</v>
      </c>
      <c r="Y108" s="75">
        <v>9265.4</v>
      </c>
      <c r="Z108" s="74">
        <v>9265.4</v>
      </c>
      <c r="AA108" s="73">
        <f t="shared" si="43"/>
        <v>0</v>
      </c>
      <c r="AB108" s="71">
        <v>1186.8000000000011</v>
      </c>
      <c r="AC108" s="72">
        <v>1186.8000000000011</v>
      </c>
      <c r="AD108" s="73">
        <f t="shared" si="44"/>
        <v>0</v>
      </c>
      <c r="AE108" s="71"/>
      <c r="AF108" s="72"/>
      <c r="AG108" s="73">
        <f t="shared" si="45"/>
        <v>0</v>
      </c>
      <c r="AH108" s="75">
        <v>0.8</v>
      </c>
      <c r="AI108" s="74">
        <v>0.8</v>
      </c>
      <c r="AJ108" s="73">
        <f t="shared" si="46"/>
        <v>0</v>
      </c>
      <c r="AL108" s="79"/>
      <c r="AM108" s="79"/>
    </row>
    <row r="109" spans="1:39" ht="27" customHeight="1">
      <c r="A109" s="68">
        <v>93</v>
      </c>
      <c r="B109" s="80" t="s">
        <v>100</v>
      </c>
      <c r="C109" s="83">
        <v>10672.3</v>
      </c>
      <c r="D109" s="71">
        <f t="shared" si="32"/>
        <v>25783.8</v>
      </c>
      <c r="E109" s="72">
        <f t="shared" si="33"/>
        <v>25783.8</v>
      </c>
      <c r="F109" s="73">
        <f t="shared" si="34"/>
        <v>0</v>
      </c>
      <c r="G109" s="84"/>
      <c r="H109" s="72"/>
      <c r="I109" s="73">
        <f t="shared" si="35"/>
        <v>0</v>
      </c>
      <c r="J109" s="85">
        <v>0</v>
      </c>
      <c r="K109" s="84">
        <v>0</v>
      </c>
      <c r="L109" s="76">
        <f t="shared" si="36"/>
        <v>0</v>
      </c>
      <c r="M109" s="84">
        <v>0</v>
      </c>
      <c r="N109" s="86">
        <v>0</v>
      </c>
      <c r="O109" s="73">
        <f t="shared" si="37"/>
        <v>0</v>
      </c>
      <c r="P109" s="78">
        <v>25768.799999999999</v>
      </c>
      <c r="Q109" s="72">
        <f t="shared" si="38"/>
        <v>25768.799999999999</v>
      </c>
      <c r="R109" s="76">
        <f t="shared" si="39"/>
        <v>0</v>
      </c>
      <c r="S109" s="85">
        <v>15</v>
      </c>
      <c r="T109" s="84">
        <v>15</v>
      </c>
      <c r="U109" s="73">
        <f t="shared" si="40"/>
        <v>0</v>
      </c>
      <c r="V109" s="71">
        <f t="shared" si="47"/>
        <v>24032.7</v>
      </c>
      <c r="W109" s="72">
        <f t="shared" si="47"/>
        <v>24032.7</v>
      </c>
      <c r="X109" s="73">
        <f t="shared" si="42"/>
        <v>0</v>
      </c>
      <c r="Y109" s="85">
        <v>18687.8</v>
      </c>
      <c r="Z109" s="84">
        <v>18687.8</v>
      </c>
      <c r="AA109" s="73">
        <f t="shared" si="43"/>
        <v>0</v>
      </c>
      <c r="AB109" s="71">
        <v>5342.2000000000007</v>
      </c>
      <c r="AC109" s="72">
        <v>5342.2000000000007</v>
      </c>
      <c r="AD109" s="73">
        <f t="shared" si="44"/>
        <v>0</v>
      </c>
      <c r="AE109" s="71"/>
      <c r="AF109" s="72"/>
      <c r="AG109" s="73">
        <f t="shared" si="45"/>
        <v>0</v>
      </c>
      <c r="AH109" s="85">
        <v>2.7</v>
      </c>
      <c r="AI109" s="84">
        <v>2.7</v>
      </c>
      <c r="AJ109" s="73">
        <f t="shared" si="46"/>
        <v>0</v>
      </c>
      <c r="AL109" s="79"/>
      <c r="AM109" s="79"/>
    </row>
    <row r="110" spans="1:39" ht="27" customHeight="1">
      <c r="A110" s="68">
        <v>94</v>
      </c>
      <c r="B110" s="80" t="s">
        <v>101</v>
      </c>
      <c r="C110" s="70">
        <v>7052</v>
      </c>
      <c r="D110" s="71">
        <f t="shared" si="32"/>
        <v>15942</v>
      </c>
      <c r="E110" s="72">
        <f t="shared" si="33"/>
        <v>15942</v>
      </c>
      <c r="F110" s="73">
        <f t="shared" si="34"/>
        <v>0</v>
      </c>
      <c r="G110" s="74"/>
      <c r="H110" s="72"/>
      <c r="I110" s="73">
        <f t="shared" si="35"/>
        <v>0</v>
      </c>
      <c r="J110" s="75">
        <v>0</v>
      </c>
      <c r="K110" s="74">
        <v>0</v>
      </c>
      <c r="L110" s="76">
        <f t="shared" si="36"/>
        <v>0</v>
      </c>
      <c r="M110" s="74">
        <v>0</v>
      </c>
      <c r="N110" s="77">
        <v>0</v>
      </c>
      <c r="O110" s="73">
        <f t="shared" si="37"/>
        <v>0</v>
      </c>
      <c r="P110" s="78">
        <v>15319.5</v>
      </c>
      <c r="Q110" s="72">
        <f t="shared" si="38"/>
        <v>15319.5</v>
      </c>
      <c r="R110" s="76">
        <f t="shared" si="39"/>
        <v>0</v>
      </c>
      <c r="S110" s="75">
        <v>622.5</v>
      </c>
      <c r="T110" s="74">
        <v>622.5</v>
      </c>
      <c r="U110" s="73">
        <f t="shared" si="40"/>
        <v>0</v>
      </c>
      <c r="V110" s="71">
        <f t="shared" si="47"/>
        <v>14529.3</v>
      </c>
      <c r="W110" s="72">
        <f t="shared" si="47"/>
        <v>14529.3</v>
      </c>
      <c r="X110" s="73">
        <f t="shared" si="42"/>
        <v>0</v>
      </c>
      <c r="Y110" s="75">
        <v>11872.4</v>
      </c>
      <c r="Z110" s="74">
        <v>11872.4</v>
      </c>
      <c r="AA110" s="73">
        <f t="shared" si="43"/>
        <v>0</v>
      </c>
      <c r="AB110" s="71">
        <v>2656.8999999999996</v>
      </c>
      <c r="AC110" s="72">
        <v>2656.8999999999996</v>
      </c>
      <c r="AD110" s="73">
        <f t="shared" si="44"/>
        <v>0</v>
      </c>
      <c r="AE110" s="71"/>
      <c r="AF110" s="72"/>
      <c r="AG110" s="73">
        <f t="shared" si="45"/>
        <v>0</v>
      </c>
      <c r="AH110" s="75">
        <v>0</v>
      </c>
      <c r="AI110" s="74">
        <v>0</v>
      </c>
      <c r="AJ110" s="73">
        <f t="shared" si="46"/>
        <v>0</v>
      </c>
      <c r="AL110" s="79"/>
      <c r="AM110" s="79"/>
    </row>
    <row r="111" spans="1:39" ht="27" customHeight="1">
      <c r="A111" s="68">
        <v>95</v>
      </c>
      <c r="B111" s="80" t="s">
        <v>102</v>
      </c>
      <c r="C111" s="70">
        <v>18678.900000000001</v>
      </c>
      <c r="D111" s="71">
        <f t="shared" si="32"/>
        <v>14659</v>
      </c>
      <c r="E111" s="72">
        <f t="shared" si="33"/>
        <v>14659</v>
      </c>
      <c r="F111" s="73">
        <f t="shared" si="34"/>
        <v>0</v>
      </c>
      <c r="G111" s="74"/>
      <c r="H111" s="72"/>
      <c r="I111" s="73">
        <f t="shared" si="35"/>
        <v>0</v>
      </c>
      <c r="J111" s="75">
        <v>0</v>
      </c>
      <c r="K111" s="74">
        <v>0</v>
      </c>
      <c r="L111" s="76">
        <f t="shared" si="36"/>
        <v>0</v>
      </c>
      <c r="M111" s="74">
        <v>0</v>
      </c>
      <c r="N111" s="77">
        <v>0</v>
      </c>
      <c r="O111" s="73">
        <f t="shared" si="37"/>
        <v>0</v>
      </c>
      <c r="P111" s="78">
        <v>14647.1</v>
      </c>
      <c r="Q111" s="72">
        <f t="shared" si="38"/>
        <v>14647.1</v>
      </c>
      <c r="R111" s="76">
        <f t="shared" si="39"/>
        <v>0</v>
      </c>
      <c r="S111" s="75">
        <f>3.9+8</f>
        <v>11.9</v>
      </c>
      <c r="T111" s="74">
        <f>3.9+8</f>
        <v>11.9</v>
      </c>
      <c r="U111" s="73">
        <f t="shared" si="40"/>
        <v>0</v>
      </c>
      <c r="V111" s="71">
        <f t="shared" si="47"/>
        <v>16767.3</v>
      </c>
      <c r="W111" s="72">
        <f t="shared" si="47"/>
        <v>16767.3</v>
      </c>
      <c r="X111" s="73">
        <f t="shared" si="42"/>
        <v>0</v>
      </c>
      <c r="Y111" s="75">
        <v>15936.7</v>
      </c>
      <c r="Z111" s="74">
        <v>15936.7</v>
      </c>
      <c r="AA111" s="73">
        <f t="shared" si="43"/>
        <v>0</v>
      </c>
      <c r="AB111" s="71">
        <v>830.59999999999854</v>
      </c>
      <c r="AC111" s="72">
        <v>830.59999999999854</v>
      </c>
      <c r="AD111" s="73">
        <f t="shared" si="44"/>
        <v>0</v>
      </c>
      <c r="AE111" s="71"/>
      <c r="AF111" s="72"/>
      <c r="AG111" s="73">
        <f t="shared" si="45"/>
        <v>0</v>
      </c>
      <c r="AH111" s="75">
        <v>0</v>
      </c>
      <c r="AI111" s="74">
        <v>0</v>
      </c>
      <c r="AJ111" s="73">
        <f t="shared" si="46"/>
        <v>0</v>
      </c>
      <c r="AL111" s="79"/>
      <c r="AM111" s="79"/>
    </row>
    <row r="112" spans="1:39" ht="27" customHeight="1">
      <c r="A112" s="68">
        <v>96</v>
      </c>
      <c r="B112" s="80" t="s">
        <v>103</v>
      </c>
      <c r="C112" s="70">
        <v>3483.3</v>
      </c>
      <c r="D112" s="71">
        <f t="shared" si="32"/>
        <v>7460.7000000000007</v>
      </c>
      <c r="E112" s="72">
        <f t="shared" si="33"/>
        <v>7460.7000000000007</v>
      </c>
      <c r="F112" s="73">
        <f t="shared" si="34"/>
        <v>0</v>
      </c>
      <c r="G112" s="74"/>
      <c r="H112" s="72"/>
      <c r="I112" s="73">
        <f t="shared" si="35"/>
        <v>0</v>
      </c>
      <c r="J112" s="75">
        <v>0</v>
      </c>
      <c r="K112" s="74">
        <v>0</v>
      </c>
      <c r="L112" s="76">
        <f t="shared" si="36"/>
        <v>0</v>
      </c>
      <c r="M112" s="74">
        <v>0</v>
      </c>
      <c r="N112" s="77">
        <v>0</v>
      </c>
      <c r="O112" s="73">
        <f t="shared" si="37"/>
        <v>0</v>
      </c>
      <c r="P112" s="78">
        <v>7449.1</v>
      </c>
      <c r="Q112" s="72">
        <f t="shared" si="38"/>
        <v>7449.1</v>
      </c>
      <c r="R112" s="76">
        <f t="shared" si="39"/>
        <v>0</v>
      </c>
      <c r="S112" s="75">
        <f>11.5+0.1</f>
        <v>11.6</v>
      </c>
      <c r="T112" s="74">
        <f>11.5+0.1</f>
        <v>11.6</v>
      </c>
      <c r="U112" s="73">
        <f t="shared" si="40"/>
        <v>0</v>
      </c>
      <c r="V112" s="71">
        <f t="shared" si="47"/>
        <v>7138.5</v>
      </c>
      <c r="W112" s="72">
        <f t="shared" si="47"/>
        <v>7138.5</v>
      </c>
      <c r="X112" s="73">
        <f t="shared" si="42"/>
        <v>0</v>
      </c>
      <c r="Y112" s="75">
        <v>6381.2</v>
      </c>
      <c r="Z112" s="74">
        <v>6381.2</v>
      </c>
      <c r="AA112" s="73">
        <f t="shared" si="43"/>
        <v>0</v>
      </c>
      <c r="AB112" s="71">
        <v>757.30000000000018</v>
      </c>
      <c r="AC112" s="72">
        <v>757.30000000000018</v>
      </c>
      <c r="AD112" s="73">
        <f t="shared" si="44"/>
        <v>0</v>
      </c>
      <c r="AE112" s="71"/>
      <c r="AF112" s="72"/>
      <c r="AG112" s="73">
        <f t="shared" si="45"/>
        <v>0</v>
      </c>
      <c r="AH112" s="75">
        <v>0</v>
      </c>
      <c r="AI112" s="74">
        <v>0</v>
      </c>
      <c r="AJ112" s="73">
        <f t="shared" si="46"/>
        <v>0</v>
      </c>
      <c r="AL112" s="79"/>
      <c r="AM112" s="79"/>
    </row>
    <row r="113" spans="1:39" ht="27" customHeight="1">
      <c r="A113" s="68">
        <v>97</v>
      </c>
      <c r="B113" s="80" t="s">
        <v>104</v>
      </c>
      <c r="C113" s="70">
        <v>7818.3</v>
      </c>
      <c r="D113" s="71">
        <f t="shared" si="32"/>
        <v>35153.5</v>
      </c>
      <c r="E113" s="72">
        <f t="shared" si="33"/>
        <v>35153.5</v>
      </c>
      <c r="F113" s="73">
        <f t="shared" si="34"/>
        <v>0</v>
      </c>
      <c r="G113" s="74"/>
      <c r="H113" s="72"/>
      <c r="I113" s="73">
        <f t="shared" si="35"/>
        <v>0</v>
      </c>
      <c r="J113" s="75">
        <v>86.4</v>
      </c>
      <c r="K113" s="74">
        <v>86.4</v>
      </c>
      <c r="L113" s="76">
        <f t="shared" si="36"/>
        <v>0</v>
      </c>
      <c r="M113" s="74">
        <v>0</v>
      </c>
      <c r="N113" s="77">
        <v>0</v>
      </c>
      <c r="O113" s="73">
        <f t="shared" si="37"/>
        <v>0</v>
      </c>
      <c r="P113" s="78">
        <v>34352.699999999997</v>
      </c>
      <c r="Q113" s="72">
        <f t="shared" si="38"/>
        <v>34352.699999999997</v>
      </c>
      <c r="R113" s="76">
        <f t="shared" si="39"/>
        <v>0</v>
      </c>
      <c r="S113" s="75">
        <v>714.4</v>
      </c>
      <c r="T113" s="74">
        <v>714.4</v>
      </c>
      <c r="U113" s="73">
        <f t="shared" si="40"/>
        <v>0</v>
      </c>
      <c r="V113" s="71">
        <f t="shared" si="47"/>
        <v>31475.200000000001</v>
      </c>
      <c r="W113" s="72">
        <f t="shared" si="47"/>
        <v>31475.200000000001</v>
      </c>
      <c r="X113" s="73">
        <f t="shared" si="42"/>
        <v>0</v>
      </c>
      <c r="Y113" s="75">
        <v>23579</v>
      </c>
      <c r="Z113" s="74">
        <v>23579</v>
      </c>
      <c r="AA113" s="73">
        <f t="shared" si="43"/>
        <v>0</v>
      </c>
      <c r="AB113" s="71">
        <v>7614.7000000000007</v>
      </c>
      <c r="AC113" s="72">
        <v>7614.7000000000007</v>
      </c>
      <c r="AD113" s="73">
        <f t="shared" si="44"/>
        <v>0</v>
      </c>
      <c r="AE113" s="71"/>
      <c r="AF113" s="72"/>
      <c r="AG113" s="73">
        <f t="shared" si="45"/>
        <v>0</v>
      </c>
      <c r="AH113" s="75">
        <v>281.5</v>
      </c>
      <c r="AI113" s="74">
        <v>281.5</v>
      </c>
      <c r="AJ113" s="73">
        <f t="shared" si="46"/>
        <v>0</v>
      </c>
      <c r="AL113" s="79"/>
      <c r="AM113" s="79"/>
    </row>
    <row r="114" spans="1:39" ht="27" customHeight="1">
      <c r="A114" s="68">
        <v>98</v>
      </c>
      <c r="B114" s="80" t="s">
        <v>105</v>
      </c>
      <c r="C114" s="70">
        <v>20375.599999999999</v>
      </c>
      <c r="D114" s="71">
        <f t="shared" si="32"/>
        <v>37425.5</v>
      </c>
      <c r="E114" s="72">
        <f t="shared" si="33"/>
        <v>37425.5</v>
      </c>
      <c r="F114" s="73">
        <f t="shared" si="34"/>
        <v>0</v>
      </c>
      <c r="G114" s="74"/>
      <c r="H114" s="72"/>
      <c r="I114" s="73">
        <f t="shared" si="35"/>
        <v>0</v>
      </c>
      <c r="J114" s="75">
        <v>0</v>
      </c>
      <c r="K114" s="74">
        <v>0</v>
      </c>
      <c r="L114" s="76">
        <f t="shared" si="36"/>
        <v>0</v>
      </c>
      <c r="M114" s="74">
        <v>0</v>
      </c>
      <c r="N114" s="77">
        <v>0</v>
      </c>
      <c r="O114" s="73">
        <f t="shared" si="37"/>
        <v>0</v>
      </c>
      <c r="P114" s="78">
        <v>37337</v>
      </c>
      <c r="Q114" s="72">
        <f t="shared" si="38"/>
        <v>37337</v>
      </c>
      <c r="R114" s="76">
        <f t="shared" si="39"/>
        <v>0</v>
      </c>
      <c r="S114" s="75">
        <f>48.8+39.7</f>
        <v>88.5</v>
      </c>
      <c r="T114" s="74">
        <f>48.8+39.7</f>
        <v>88.5</v>
      </c>
      <c r="U114" s="73">
        <f t="shared" si="40"/>
        <v>0</v>
      </c>
      <c r="V114" s="71">
        <f t="shared" si="47"/>
        <v>32489.9</v>
      </c>
      <c r="W114" s="72">
        <f>Z114+AC114+AF114+AI114</f>
        <v>32489.9</v>
      </c>
      <c r="X114" s="73">
        <f t="shared" si="42"/>
        <v>0</v>
      </c>
      <c r="Y114" s="75">
        <v>27256.799999999999</v>
      </c>
      <c r="Z114" s="74">
        <v>27256.799999999999</v>
      </c>
      <c r="AA114" s="73">
        <f t="shared" si="43"/>
        <v>0</v>
      </c>
      <c r="AB114" s="71">
        <v>4726.7</v>
      </c>
      <c r="AC114" s="72">
        <v>4726.7</v>
      </c>
      <c r="AD114" s="73">
        <f t="shared" si="44"/>
        <v>0</v>
      </c>
      <c r="AE114" s="71"/>
      <c r="AF114" s="72"/>
      <c r="AG114" s="73">
        <f t="shared" si="45"/>
        <v>0</v>
      </c>
      <c r="AH114" s="75">
        <f>6.4+500</f>
        <v>506.4</v>
      </c>
      <c r="AI114" s="74">
        <f>6.4+500</f>
        <v>506.4</v>
      </c>
      <c r="AJ114" s="73">
        <f t="shared" si="46"/>
        <v>0</v>
      </c>
      <c r="AL114" s="79"/>
      <c r="AM114" s="79"/>
    </row>
    <row r="115" spans="1:39" ht="27" customHeight="1">
      <c r="A115" s="68">
        <v>99</v>
      </c>
      <c r="B115" s="80" t="s">
        <v>106</v>
      </c>
      <c r="C115" s="70">
        <v>7205</v>
      </c>
      <c r="D115" s="71">
        <f t="shared" si="32"/>
        <v>34906.399999999994</v>
      </c>
      <c r="E115" s="72">
        <f t="shared" si="33"/>
        <v>34906.399999999994</v>
      </c>
      <c r="F115" s="73">
        <f t="shared" si="34"/>
        <v>0</v>
      </c>
      <c r="G115" s="74"/>
      <c r="H115" s="72"/>
      <c r="I115" s="73">
        <f t="shared" si="35"/>
        <v>0</v>
      </c>
      <c r="J115" s="75">
        <v>0</v>
      </c>
      <c r="K115" s="74">
        <v>0</v>
      </c>
      <c r="L115" s="76">
        <f t="shared" si="36"/>
        <v>0</v>
      </c>
      <c r="M115" s="74">
        <v>0</v>
      </c>
      <c r="N115" s="77">
        <v>0</v>
      </c>
      <c r="O115" s="73">
        <f t="shared" si="37"/>
        <v>0</v>
      </c>
      <c r="P115" s="78">
        <v>34820.199999999997</v>
      </c>
      <c r="Q115" s="72">
        <f t="shared" si="38"/>
        <v>34820.199999999997</v>
      </c>
      <c r="R115" s="76">
        <f t="shared" si="39"/>
        <v>0</v>
      </c>
      <c r="S115" s="75">
        <f>75+11+0.2</f>
        <v>86.2</v>
      </c>
      <c r="T115" s="74">
        <f>75+11+0.2</f>
        <v>86.2</v>
      </c>
      <c r="U115" s="73">
        <f t="shared" si="40"/>
        <v>0</v>
      </c>
      <c r="V115" s="71">
        <f t="shared" si="47"/>
        <v>34250</v>
      </c>
      <c r="W115" s="72">
        <f t="shared" si="47"/>
        <v>34250</v>
      </c>
      <c r="X115" s="73">
        <f t="shared" si="42"/>
        <v>0</v>
      </c>
      <c r="Y115" s="75">
        <v>27710.6</v>
      </c>
      <c r="Z115" s="74">
        <v>27710.6</v>
      </c>
      <c r="AA115" s="73">
        <f t="shared" si="43"/>
        <v>0</v>
      </c>
      <c r="AB115" s="71">
        <v>5316.0999999999985</v>
      </c>
      <c r="AC115" s="72">
        <v>5316.0999999999985</v>
      </c>
      <c r="AD115" s="73">
        <f t="shared" si="44"/>
        <v>0</v>
      </c>
      <c r="AE115" s="71"/>
      <c r="AF115" s="72"/>
      <c r="AG115" s="73">
        <f t="shared" si="45"/>
        <v>0</v>
      </c>
      <c r="AH115" s="75">
        <v>1223.3</v>
      </c>
      <c r="AI115" s="74">
        <v>1223.3</v>
      </c>
      <c r="AJ115" s="73">
        <f t="shared" si="46"/>
        <v>0</v>
      </c>
      <c r="AL115" s="79"/>
      <c r="AM115" s="79"/>
    </row>
    <row r="116" spans="1:39" ht="27" customHeight="1">
      <c r="A116" s="68">
        <v>100</v>
      </c>
      <c r="B116" s="80" t="s">
        <v>107</v>
      </c>
      <c r="C116" s="70">
        <v>11983</v>
      </c>
      <c r="D116" s="71">
        <f t="shared" si="32"/>
        <v>13792.5</v>
      </c>
      <c r="E116" s="72">
        <f t="shared" si="33"/>
        <v>13792.5</v>
      </c>
      <c r="F116" s="73">
        <f t="shared" si="34"/>
        <v>0</v>
      </c>
      <c r="G116" s="74"/>
      <c r="H116" s="72"/>
      <c r="I116" s="73">
        <f t="shared" si="35"/>
        <v>0</v>
      </c>
      <c r="J116" s="75">
        <v>0</v>
      </c>
      <c r="K116" s="74">
        <v>0</v>
      </c>
      <c r="L116" s="76">
        <f t="shared" si="36"/>
        <v>0</v>
      </c>
      <c r="M116" s="74">
        <v>0</v>
      </c>
      <c r="N116" s="77">
        <v>0</v>
      </c>
      <c r="O116" s="73">
        <f t="shared" si="37"/>
        <v>0</v>
      </c>
      <c r="P116" s="78">
        <v>13784.8</v>
      </c>
      <c r="Q116" s="72">
        <f t="shared" si="38"/>
        <v>13784.8</v>
      </c>
      <c r="R116" s="76">
        <f t="shared" si="39"/>
        <v>0</v>
      </c>
      <c r="S116" s="75">
        <v>7.7</v>
      </c>
      <c r="T116" s="74">
        <v>7.7</v>
      </c>
      <c r="U116" s="73">
        <f t="shared" si="40"/>
        <v>0</v>
      </c>
      <c r="V116" s="71">
        <f t="shared" si="47"/>
        <v>16297.9</v>
      </c>
      <c r="W116" s="72">
        <f t="shared" si="47"/>
        <v>16297.9</v>
      </c>
      <c r="X116" s="73">
        <f t="shared" si="42"/>
        <v>0</v>
      </c>
      <c r="Y116" s="75">
        <v>14274.8</v>
      </c>
      <c r="Z116" s="74">
        <v>14274.8</v>
      </c>
      <c r="AA116" s="73">
        <f t="shared" si="43"/>
        <v>0</v>
      </c>
      <c r="AB116" s="71">
        <v>2023.1000000000004</v>
      </c>
      <c r="AC116" s="72">
        <v>2023.1000000000004</v>
      </c>
      <c r="AD116" s="73">
        <f t="shared" si="44"/>
        <v>0</v>
      </c>
      <c r="AE116" s="71"/>
      <c r="AF116" s="72"/>
      <c r="AG116" s="73">
        <f t="shared" si="45"/>
        <v>0</v>
      </c>
      <c r="AH116" s="75">
        <v>0</v>
      </c>
      <c r="AI116" s="74">
        <v>0</v>
      </c>
      <c r="AJ116" s="73">
        <f t="shared" si="46"/>
        <v>0</v>
      </c>
      <c r="AL116" s="79"/>
      <c r="AM116" s="79"/>
    </row>
    <row r="117" spans="1:39" ht="27" customHeight="1">
      <c r="A117" s="68">
        <v>101</v>
      </c>
      <c r="B117" s="80" t="s">
        <v>108</v>
      </c>
      <c r="C117" s="70">
        <v>41624</v>
      </c>
      <c r="D117" s="71">
        <f t="shared" ref="D117:D148" si="48">+G117+J117+M117+P117+S117</f>
        <v>49457.8</v>
      </c>
      <c r="E117" s="72">
        <f t="shared" ref="E117:E148" si="49">+H117+K117+N117+Q117+T117</f>
        <v>49457.8</v>
      </c>
      <c r="F117" s="73">
        <f t="shared" si="34"/>
        <v>0</v>
      </c>
      <c r="G117" s="74"/>
      <c r="H117" s="72"/>
      <c r="I117" s="73">
        <f t="shared" si="35"/>
        <v>0</v>
      </c>
      <c r="J117" s="75">
        <v>0</v>
      </c>
      <c r="K117" s="74">
        <v>0</v>
      </c>
      <c r="L117" s="76">
        <f t="shared" si="36"/>
        <v>0</v>
      </c>
      <c r="M117" s="74">
        <v>0</v>
      </c>
      <c r="N117" s="77">
        <v>0</v>
      </c>
      <c r="O117" s="73">
        <f t="shared" si="37"/>
        <v>0</v>
      </c>
      <c r="P117" s="78">
        <v>49206.8</v>
      </c>
      <c r="Q117" s="72">
        <f t="shared" si="38"/>
        <v>49206.8</v>
      </c>
      <c r="R117" s="76">
        <f t="shared" si="39"/>
        <v>0</v>
      </c>
      <c r="S117" s="75">
        <f>120.3+8+122.7</f>
        <v>251</v>
      </c>
      <c r="T117" s="74">
        <f>120.3+8+122.7</f>
        <v>251</v>
      </c>
      <c r="U117" s="73">
        <f t="shared" si="40"/>
        <v>0</v>
      </c>
      <c r="V117" s="71">
        <f t="shared" si="47"/>
        <v>38256.300000000003</v>
      </c>
      <c r="W117" s="72">
        <f t="shared" si="47"/>
        <v>38256.300000000003</v>
      </c>
      <c r="X117" s="73">
        <f t="shared" si="42"/>
        <v>0</v>
      </c>
      <c r="Y117" s="75">
        <v>34237.599999999999</v>
      </c>
      <c r="Z117" s="74">
        <v>34237.599999999999</v>
      </c>
      <c r="AA117" s="73">
        <f t="shared" si="43"/>
        <v>0</v>
      </c>
      <c r="AB117" s="71">
        <v>3568.1000000000058</v>
      </c>
      <c r="AC117" s="72">
        <v>3568.1000000000058</v>
      </c>
      <c r="AD117" s="73">
        <f t="shared" si="44"/>
        <v>0</v>
      </c>
      <c r="AE117" s="71"/>
      <c r="AF117" s="72"/>
      <c r="AG117" s="73">
        <f t="shared" si="45"/>
        <v>0</v>
      </c>
      <c r="AH117" s="75">
        <v>450.6</v>
      </c>
      <c r="AI117" s="74">
        <v>450.6</v>
      </c>
      <c r="AJ117" s="73">
        <f t="shared" si="46"/>
        <v>0</v>
      </c>
      <c r="AL117" s="79"/>
      <c r="AM117" s="79"/>
    </row>
    <row r="118" spans="1:39" ht="27" customHeight="1">
      <c r="A118" s="68">
        <v>102</v>
      </c>
      <c r="B118" s="80" t="s">
        <v>109</v>
      </c>
      <c r="C118" s="70">
        <v>22562.5</v>
      </c>
      <c r="D118" s="71">
        <f t="shared" si="48"/>
        <v>26197.5</v>
      </c>
      <c r="E118" s="72">
        <f t="shared" si="49"/>
        <v>26197.5</v>
      </c>
      <c r="F118" s="73">
        <f t="shared" si="34"/>
        <v>0</v>
      </c>
      <c r="G118" s="74"/>
      <c r="H118" s="72"/>
      <c r="I118" s="73">
        <f t="shared" si="35"/>
        <v>0</v>
      </c>
      <c r="J118" s="75">
        <v>0</v>
      </c>
      <c r="K118" s="74">
        <v>0</v>
      </c>
      <c r="L118" s="76">
        <f t="shared" si="36"/>
        <v>0</v>
      </c>
      <c r="M118" s="74">
        <v>0</v>
      </c>
      <c r="N118" s="77">
        <v>0</v>
      </c>
      <c r="O118" s="73">
        <f t="shared" si="37"/>
        <v>0</v>
      </c>
      <c r="P118" s="78">
        <v>23904.7</v>
      </c>
      <c r="Q118" s="72">
        <f t="shared" si="38"/>
        <v>23904.7</v>
      </c>
      <c r="R118" s="76">
        <f t="shared" si="39"/>
        <v>0</v>
      </c>
      <c r="S118" s="75">
        <f>1.9+1358.6+868.6+63.7</f>
        <v>2292.7999999999997</v>
      </c>
      <c r="T118" s="74">
        <f>1.9+1358.6+868.6+63.7</f>
        <v>2292.7999999999997</v>
      </c>
      <c r="U118" s="73">
        <f t="shared" si="40"/>
        <v>0</v>
      </c>
      <c r="V118" s="71">
        <f t="shared" si="47"/>
        <v>28175.4</v>
      </c>
      <c r="W118" s="72">
        <f t="shared" si="47"/>
        <v>28175.4</v>
      </c>
      <c r="X118" s="73">
        <f t="shared" si="42"/>
        <v>0</v>
      </c>
      <c r="Y118" s="75">
        <v>24308.1</v>
      </c>
      <c r="Z118" s="74">
        <v>24308.1</v>
      </c>
      <c r="AA118" s="73">
        <f t="shared" si="43"/>
        <v>0</v>
      </c>
      <c r="AB118" s="71">
        <v>3867.3000000000029</v>
      </c>
      <c r="AC118" s="72">
        <v>3867.3000000000029</v>
      </c>
      <c r="AD118" s="73">
        <f t="shared" si="44"/>
        <v>0</v>
      </c>
      <c r="AE118" s="71"/>
      <c r="AF118" s="72"/>
      <c r="AG118" s="73">
        <f t="shared" si="45"/>
        <v>0</v>
      </c>
      <c r="AH118" s="75">
        <v>0</v>
      </c>
      <c r="AI118" s="74">
        <v>0</v>
      </c>
      <c r="AJ118" s="73">
        <f t="shared" si="46"/>
        <v>0</v>
      </c>
      <c r="AL118" s="79"/>
      <c r="AM118" s="79"/>
    </row>
    <row r="119" spans="1:39" ht="27" customHeight="1">
      <c r="A119" s="68">
        <v>103</v>
      </c>
      <c r="B119" s="69" t="s">
        <v>84</v>
      </c>
      <c r="C119" s="70">
        <v>22983.7</v>
      </c>
      <c r="D119" s="71">
        <f t="shared" si="48"/>
        <v>30241.4</v>
      </c>
      <c r="E119" s="72">
        <f t="shared" si="49"/>
        <v>30241.4</v>
      </c>
      <c r="F119" s="73">
        <f t="shared" si="34"/>
        <v>0</v>
      </c>
      <c r="G119" s="74"/>
      <c r="H119" s="72"/>
      <c r="I119" s="73">
        <f t="shared" si="35"/>
        <v>0</v>
      </c>
      <c r="J119" s="75">
        <v>0</v>
      </c>
      <c r="K119" s="74">
        <v>0</v>
      </c>
      <c r="L119" s="76">
        <f t="shared" si="36"/>
        <v>0</v>
      </c>
      <c r="M119" s="74">
        <v>0</v>
      </c>
      <c r="N119" s="77">
        <v>0</v>
      </c>
      <c r="O119" s="73">
        <f t="shared" si="37"/>
        <v>0</v>
      </c>
      <c r="P119" s="78">
        <v>26721.9</v>
      </c>
      <c r="Q119" s="72">
        <f t="shared" si="38"/>
        <v>26721.9</v>
      </c>
      <c r="R119" s="76">
        <f t="shared" si="39"/>
        <v>0</v>
      </c>
      <c r="S119" s="75">
        <f>19.6+3012.5+477.4+10</f>
        <v>3519.5</v>
      </c>
      <c r="T119" s="74">
        <f>19.6+3012.5+477.4+10</f>
        <v>3519.5</v>
      </c>
      <c r="U119" s="73">
        <f t="shared" si="40"/>
        <v>0</v>
      </c>
      <c r="V119" s="71">
        <f t="shared" si="47"/>
        <v>50025.599999999999</v>
      </c>
      <c r="W119" s="72">
        <f t="shared" si="47"/>
        <v>50025.599999999999</v>
      </c>
      <c r="X119" s="73">
        <f t="shared" si="42"/>
        <v>0</v>
      </c>
      <c r="Y119" s="75">
        <v>29796.7</v>
      </c>
      <c r="Z119" s="74">
        <v>29796.7</v>
      </c>
      <c r="AA119" s="73">
        <f t="shared" si="43"/>
        <v>0</v>
      </c>
      <c r="AB119" s="71">
        <v>20224.899999999998</v>
      </c>
      <c r="AC119" s="72">
        <v>20224.899999999998</v>
      </c>
      <c r="AD119" s="73">
        <f t="shared" si="44"/>
        <v>0</v>
      </c>
      <c r="AE119" s="71"/>
      <c r="AF119" s="72"/>
      <c r="AG119" s="73">
        <f t="shared" si="45"/>
        <v>0</v>
      </c>
      <c r="AH119" s="75">
        <v>4</v>
      </c>
      <c r="AI119" s="74">
        <v>4</v>
      </c>
      <c r="AJ119" s="73">
        <f t="shared" si="46"/>
        <v>0</v>
      </c>
      <c r="AL119" s="79"/>
      <c r="AM119" s="79"/>
    </row>
    <row r="120" spans="1:39" ht="27" customHeight="1">
      <c r="A120" s="68">
        <v>104</v>
      </c>
      <c r="B120" s="80" t="s">
        <v>85</v>
      </c>
      <c r="C120" s="70">
        <v>5103.3999999999996</v>
      </c>
      <c r="D120" s="71">
        <f t="shared" si="48"/>
        <v>26550.799999999999</v>
      </c>
      <c r="E120" s="72">
        <f t="shared" si="49"/>
        <v>26550.799999999999</v>
      </c>
      <c r="F120" s="73">
        <f t="shared" si="34"/>
        <v>0</v>
      </c>
      <c r="G120" s="74"/>
      <c r="H120" s="72"/>
      <c r="I120" s="73">
        <f t="shared" si="35"/>
        <v>0</v>
      </c>
      <c r="J120" s="75">
        <v>253.8</v>
      </c>
      <c r="K120" s="74">
        <v>253.8</v>
      </c>
      <c r="L120" s="76">
        <f t="shared" si="36"/>
        <v>0</v>
      </c>
      <c r="M120" s="74">
        <v>0</v>
      </c>
      <c r="N120" s="77">
        <v>0</v>
      </c>
      <c r="O120" s="73">
        <f t="shared" si="37"/>
        <v>0</v>
      </c>
      <c r="P120" s="78">
        <v>26207.5</v>
      </c>
      <c r="Q120" s="72">
        <f t="shared" si="38"/>
        <v>26207.5</v>
      </c>
      <c r="R120" s="76">
        <f t="shared" si="39"/>
        <v>0</v>
      </c>
      <c r="S120" s="75">
        <v>89.5</v>
      </c>
      <c r="T120" s="74">
        <v>89.5</v>
      </c>
      <c r="U120" s="73">
        <f t="shared" si="40"/>
        <v>0</v>
      </c>
      <c r="V120" s="71">
        <f t="shared" si="47"/>
        <v>25933.1</v>
      </c>
      <c r="W120" s="72">
        <f t="shared" si="47"/>
        <v>25933.1</v>
      </c>
      <c r="X120" s="73">
        <f t="shared" si="42"/>
        <v>0</v>
      </c>
      <c r="Y120" s="75">
        <v>21628.799999999999</v>
      </c>
      <c r="Z120" s="74">
        <v>21628.799999999999</v>
      </c>
      <c r="AA120" s="73">
        <f t="shared" si="43"/>
        <v>0</v>
      </c>
      <c r="AB120" s="71">
        <v>4210.7999999999993</v>
      </c>
      <c r="AC120" s="72">
        <v>4210.7999999999993</v>
      </c>
      <c r="AD120" s="73">
        <f t="shared" si="44"/>
        <v>0</v>
      </c>
      <c r="AE120" s="71"/>
      <c r="AF120" s="72"/>
      <c r="AG120" s="73">
        <f t="shared" si="45"/>
        <v>0</v>
      </c>
      <c r="AH120" s="75">
        <v>93.5</v>
      </c>
      <c r="AI120" s="74">
        <v>93.5</v>
      </c>
      <c r="AJ120" s="73">
        <f t="shared" si="46"/>
        <v>0</v>
      </c>
      <c r="AL120" s="79"/>
      <c r="AM120" s="79"/>
    </row>
    <row r="121" spans="1:39" ht="27" customHeight="1">
      <c r="A121" s="68">
        <v>105</v>
      </c>
      <c r="B121" s="80" t="s">
        <v>86</v>
      </c>
      <c r="C121" s="70">
        <v>10195.9</v>
      </c>
      <c r="D121" s="71">
        <f t="shared" si="48"/>
        <v>11943.300000000001</v>
      </c>
      <c r="E121" s="72">
        <f t="shared" si="49"/>
        <v>11943.300000000001</v>
      </c>
      <c r="F121" s="73">
        <f t="shared" si="34"/>
        <v>0</v>
      </c>
      <c r="G121" s="74"/>
      <c r="H121" s="72"/>
      <c r="I121" s="73">
        <f t="shared" si="35"/>
        <v>0</v>
      </c>
      <c r="J121" s="75">
        <v>0</v>
      </c>
      <c r="K121" s="74">
        <v>0</v>
      </c>
      <c r="L121" s="76">
        <f t="shared" si="36"/>
        <v>0</v>
      </c>
      <c r="M121" s="74">
        <v>0</v>
      </c>
      <c r="N121" s="77">
        <v>0</v>
      </c>
      <c r="O121" s="73">
        <f t="shared" si="37"/>
        <v>0</v>
      </c>
      <c r="P121" s="78">
        <v>8724.7000000000007</v>
      </c>
      <c r="Q121" s="72">
        <f t="shared" si="38"/>
        <v>8724.7000000000007</v>
      </c>
      <c r="R121" s="76">
        <f t="shared" si="39"/>
        <v>0</v>
      </c>
      <c r="S121" s="75">
        <f>1461.6+1732+25</f>
        <v>3218.6</v>
      </c>
      <c r="T121" s="74">
        <f>1461.6+1732+25</f>
        <v>3218.6</v>
      </c>
      <c r="U121" s="73">
        <f t="shared" si="40"/>
        <v>0</v>
      </c>
      <c r="V121" s="71">
        <f t="shared" ref="V121:W136" si="50">Y121+AB121+AE121+AH121</f>
        <v>14962</v>
      </c>
      <c r="W121" s="72">
        <f t="shared" si="50"/>
        <v>14962</v>
      </c>
      <c r="X121" s="73">
        <f t="shared" si="42"/>
        <v>0</v>
      </c>
      <c r="Y121" s="75">
        <v>10163.6</v>
      </c>
      <c r="Z121" s="74">
        <v>10163.6</v>
      </c>
      <c r="AA121" s="73">
        <f t="shared" si="43"/>
        <v>0</v>
      </c>
      <c r="AB121" s="71">
        <v>4798.3999999999996</v>
      </c>
      <c r="AC121" s="72">
        <v>4798.3999999999996</v>
      </c>
      <c r="AD121" s="73">
        <f t="shared" si="44"/>
        <v>0</v>
      </c>
      <c r="AE121" s="71"/>
      <c r="AF121" s="72"/>
      <c r="AG121" s="73">
        <f t="shared" si="45"/>
        <v>0</v>
      </c>
      <c r="AH121" s="75">
        <v>0</v>
      </c>
      <c r="AI121" s="74">
        <v>0</v>
      </c>
      <c r="AJ121" s="73">
        <f t="shared" si="46"/>
        <v>0</v>
      </c>
      <c r="AL121" s="79"/>
      <c r="AM121" s="79"/>
    </row>
    <row r="122" spans="1:39" ht="27" customHeight="1">
      <c r="A122" s="68">
        <v>106</v>
      </c>
      <c r="B122" s="80" t="s">
        <v>87</v>
      </c>
      <c r="C122" s="83">
        <v>9908.2999999999993</v>
      </c>
      <c r="D122" s="71">
        <f t="shared" si="48"/>
        <v>10871.1</v>
      </c>
      <c r="E122" s="72">
        <f t="shared" si="49"/>
        <v>10871.1</v>
      </c>
      <c r="F122" s="73">
        <f t="shared" si="34"/>
        <v>0</v>
      </c>
      <c r="G122" s="84"/>
      <c r="H122" s="72"/>
      <c r="I122" s="73">
        <f t="shared" si="35"/>
        <v>0</v>
      </c>
      <c r="J122" s="75">
        <v>0</v>
      </c>
      <c r="K122" s="74">
        <v>0</v>
      </c>
      <c r="L122" s="76">
        <f t="shared" si="36"/>
        <v>0</v>
      </c>
      <c r="M122" s="74">
        <v>0</v>
      </c>
      <c r="N122" s="77">
        <v>0</v>
      </c>
      <c r="O122" s="73">
        <f t="shared" si="37"/>
        <v>0</v>
      </c>
      <c r="P122" s="78">
        <v>10866.1</v>
      </c>
      <c r="Q122" s="72">
        <f t="shared" si="38"/>
        <v>10866.1</v>
      </c>
      <c r="R122" s="76">
        <f t="shared" si="39"/>
        <v>0</v>
      </c>
      <c r="S122" s="75">
        <f>1.7+3+0.3</f>
        <v>5</v>
      </c>
      <c r="T122" s="74">
        <f>1.7+3+0.3</f>
        <v>5</v>
      </c>
      <c r="U122" s="73">
        <f t="shared" si="40"/>
        <v>0</v>
      </c>
      <c r="V122" s="71">
        <f t="shared" si="50"/>
        <v>8615.2000000000007</v>
      </c>
      <c r="W122" s="72">
        <f t="shared" si="50"/>
        <v>8615.2000000000007</v>
      </c>
      <c r="X122" s="73">
        <f t="shared" si="42"/>
        <v>0</v>
      </c>
      <c r="Y122" s="75">
        <v>7882.6</v>
      </c>
      <c r="Z122" s="74">
        <v>7882.6</v>
      </c>
      <c r="AA122" s="73">
        <f t="shared" si="43"/>
        <v>0</v>
      </c>
      <c r="AB122" s="71">
        <v>482.60000000000036</v>
      </c>
      <c r="AC122" s="72">
        <v>482.60000000000036</v>
      </c>
      <c r="AD122" s="73">
        <f t="shared" si="44"/>
        <v>0</v>
      </c>
      <c r="AE122" s="71"/>
      <c r="AF122" s="72"/>
      <c r="AG122" s="73">
        <f t="shared" si="45"/>
        <v>0</v>
      </c>
      <c r="AH122" s="75">
        <v>250</v>
      </c>
      <c r="AI122" s="74">
        <v>250</v>
      </c>
      <c r="AJ122" s="73">
        <f t="shared" si="46"/>
        <v>0</v>
      </c>
      <c r="AL122" s="79"/>
      <c r="AM122" s="79"/>
    </row>
    <row r="123" spans="1:39" ht="27" customHeight="1">
      <c r="A123" s="68">
        <v>107</v>
      </c>
      <c r="B123" s="91" t="s">
        <v>88</v>
      </c>
      <c r="C123" s="70">
        <v>47778.3</v>
      </c>
      <c r="D123" s="71">
        <f t="shared" si="48"/>
        <v>41861.9</v>
      </c>
      <c r="E123" s="72">
        <f t="shared" si="49"/>
        <v>41861.9</v>
      </c>
      <c r="F123" s="73">
        <f t="shared" si="34"/>
        <v>0</v>
      </c>
      <c r="G123" s="74"/>
      <c r="H123" s="72"/>
      <c r="I123" s="73">
        <f t="shared" si="35"/>
        <v>0</v>
      </c>
      <c r="J123" s="75">
        <v>282.89999999999998</v>
      </c>
      <c r="K123" s="74">
        <v>282.89999999999998</v>
      </c>
      <c r="L123" s="76">
        <f t="shared" si="36"/>
        <v>0</v>
      </c>
      <c r="M123" s="74">
        <v>0</v>
      </c>
      <c r="N123" s="77">
        <v>0</v>
      </c>
      <c r="O123" s="73">
        <f t="shared" si="37"/>
        <v>0</v>
      </c>
      <c r="P123" s="78">
        <v>40396.6</v>
      </c>
      <c r="Q123" s="72">
        <f t="shared" si="38"/>
        <v>40396.6</v>
      </c>
      <c r="R123" s="76">
        <f t="shared" si="39"/>
        <v>0</v>
      </c>
      <c r="S123" s="75">
        <f>11.2+120+306+161.9+583.3+0</f>
        <v>1182.4000000000001</v>
      </c>
      <c r="T123" s="74">
        <f>11.2+120+306+161.9+583.3+0</f>
        <v>1182.4000000000001</v>
      </c>
      <c r="U123" s="73">
        <f t="shared" si="40"/>
        <v>0</v>
      </c>
      <c r="V123" s="71">
        <f t="shared" si="50"/>
        <v>34163.800000000003</v>
      </c>
      <c r="W123" s="72">
        <f t="shared" si="50"/>
        <v>34163.800000000003</v>
      </c>
      <c r="X123" s="73">
        <f t="shared" si="42"/>
        <v>0</v>
      </c>
      <c r="Y123" s="75">
        <v>28629.200000000001</v>
      </c>
      <c r="Z123" s="74">
        <v>28629.200000000001</v>
      </c>
      <c r="AA123" s="73">
        <f t="shared" si="43"/>
        <v>0</v>
      </c>
      <c r="AB123" s="71">
        <v>5474.0000000000036</v>
      </c>
      <c r="AC123" s="72">
        <v>5474.0000000000036</v>
      </c>
      <c r="AD123" s="73">
        <f t="shared" si="44"/>
        <v>0</v>
      </c>
      <c r="AE123" s="71"/>
      <c r="AF123" s="72"/>
      <c r="AG123" s="73">
        <f t="shared" si="45"/>
        <v>0</v>
      </c>
      <c r="AH123" s="75">
        <v>60.6</v>
      </c>
      <c r="AI123" s="74">
        <v>60.6</v>
      </c>
      <c r="AJ123" s="73">
        <f t="shared" si="46"/>
        <v>0</v>
      </c>
      <c r="AL123" s="79"/>
      <c r="AM123" s="79"/>
    </row>
    <row r="124" spans="1:39" ht="27" customHeight="1">
      <c r="A124" s="68">
        <v>108</v>
      </c>
      <c r="B124" s="91" t="s">
        <v>89</v>
      </c>
      <c r="C124" s="70">
        <v>5062.1000000000004</v>
      </c>
      <c r="D124" s="71">
        <f t="shared" si="48"/>
        <v>11107.7</v>
      </c>
      <c r="E124" s="72">
        <f t="shared" si="49"/>
        <v>11107.7</v>
      </c>
      <c r="F124" s="73">
        <f t="shared" si="34"/>
        <v>0</v>
      </c>
      <c r="G124" s="74"/>
      <c r="H124" s="72"/>
      <c r="I124" s="73">
        <f t="shared" si="35"/>
        <v>0</v>
      </c>
      <c r="J124" s="75">
        <v>0</v>
      </c>
      <c r="K124" s="74">
        <v>0</v>
      </c>
      <c r="L124" s="76">
        <f t="shared" si="36"/>
        <v>0</v>
      </c>
      <c r="M124" s="74">
        <v>0</v>
      </c>
      <c r="N124" s="77">
        <v>0</v>
      </c>
      <c r="O124" s="73">
        <f t="shared" si="37"/>
        <v>0</v>
      </c>
      <c r="P124" s="78">
        <v>11098.7</v>
      </c>
      <c r="Q124" s="72">
        <f t="shared" si="38"/>
        <v>11098.7</v>
      </c>
      <c r="R124" s="76">
        <f t="shared" si="39"/>
        <v>0</v>
      </c>
      <c r="S124" s="75">
        <v>9</v>
      </c>
      <c r="T124" s="74">
        <v>9</v>
      </c>
      <c r="U124" s="73">
        <f t="shared" si="40"/>
        <v>0</v>
      </c>
      <c r="V124" s="71">
        <f t="shared" si="50"/>
        <v>13372.5</v>
      </c>
      <c r="W124" s="72">
        <f t="shared" si="50"/>
        <v>13372.5</v>
      </c>
      <c r="X124" s="73">
        <f t="shared" si="42"/>
        <v>0</v>
      </c>
      <c r="Y124" s="75">
        <v>11729.5</v>
      </c>
      <c r="Z124" s="74">
        <v>11729.5</v>
      </c>
      <c r="AA124" s="73">
        <f t="shared" si="43"/>
        <v>0</v>
      </c>
      <c r="AB124" s="71">
        <v>1547</v>
      </c>
      <c r="AC124" s="72">
        <v>1547</v>
      </c>
      <c r="AD124" s="73">
        <f t="shared" si="44"/>
        <v>0</v>
      </c>
      <c r="AE124" s="71"/>
      <c r="AF124" s="72"/>
      <c r="AG124" s="73">
        <f t="shared" si="45"/>
        <v>0</v>
      </c>
      <c r="AH124" s="75">
        <v>96</v>
      </c>
      <c r="AI124" s="74">
        <v>96</v>
      </c>
      <c r="AJ124" s="73">
        <f t="shared" si="46"/>
        <v>0</v>
      </c>
      <c r="AL124" s="79"/>
      <c r="AM124" s="79"/>
    </row>
    <row r="125" spans="1:39" ht="27" customHeight="1">
      <c r="A125" s="68">
        <v>109</v>
      </c>
      <c r="B125" s="91" t="s">
        <v>90</v>
      </c>
      <c r="C125" s="70">
        <v>13225.4</v>
      </c>
      <c r="D125" s="71">
        <f t="shared" si="48"/>
        <v>14116.1</v>
      </c>
      <c r="E125" s="72">
        <f t="shared" si="49"/>
        <v>14116.1</v>
      </c>
      <c r="F125" s="73">
        <f t="shared" si="34"/>
        <v>0</v>
      </c>
      <c r="G125" s="74"/>
      <c r="H125" s="72"/>
      <c r="I125" s="73">
        <f t="shared" si="35"/>
        <v>0</v>
      </c>
      <c r="J125" s="75">
        <v>0</v>
      </c>
      <c r="K125" s="74">
        <v>0</v>
      </c>
      <c r="L125" s="76">
        <f t="shared" si="36"/>
        <v>0</v>
      </c>
      <c r="M125" s="74">
        <v>0</v>
      </c>
      <c r="N125" s="77">
        <v>0</v>
      </c>
      <c r="O125" s="73">
        <f t="shared" si="37"/>
        <v>0</v>
      </c>
      <c r="P125" s="78">
        <v>14046.7</v>
      </c>
      <c r="Q125" s="72">
        <f t="shared" si="38"/>
        <v>14046.7</v>
      </c>
      <c r="R125" s="76">
        <f t="shared" si="39"/>
        <v>0</v>
      </c>
      <c r="S125" s="75">
        <f>7.5+61.9</f>
        <v>69.400000000000006</v>
      </c>
      <c r="T125" s="74">
        <f>7.5+61.9</f>
        <v>69.400000000000006</v>
      </c>
      <c r="U125" s="73">
        <f t="shared" si="40"/>
        <v>0</v>
      </c>
      <c r="V125" s="71">
        <f t="shared" si="50"/>
        <v>15765.5</v>
      </c>
      <c r="W125" s="72">
        <f t="shared" si="50"/>
        <v>15765.5</v>
      </c>
      <c r="X125" s="73">
        <f t="shared" si="42"/>
        <v>0</v>
      </c>
      <c r="Y125" s="75">
        <v>10911.4</v>
      </c>
      <c r="Z125" s="74">
        <v>10911.4</v>
      </c>
      <c r="AA125" s="73">
        <f t="shared" si="43"/>
        <v>0</v>
      </c>
      <c r="AB125" s="71">
        <v>4852.7000000000007</v>
      </c>
      <c r="AC125" s="72">
        <v>4852.7000000000007</v>
      </c>
      <c r="AD125" s="73">
        <f t="shared" si="44"/>
        <v>0</v>
      </c>
      <c r="AE125" s="71"/>
      <c r="AF125" s="72"/>
      <c r="AG125" s="73">
        <f t="shared" si="45"/>
        <v>0</v>
      </c>
      <c r="AH125" s="75">
        <v>1.4</v>
      </c>
      <c r="AI125" s="74">
        <v>1.4</v>
      </c>
      <c r="AJ125" s="73">
        <f t="shared" si="46"/>
        <v>0</v>
      </c>
      <c r="AL125" s="79"/>
      <c r="AM125" s="79"/>
    </row>
    <row r="126" spans="1:39" ht="27" customHeight="1">
      <c r="A126" s="68">
        <v>110</v>
      </c>
      <c r="B126" s="91" t="s">
        <v>193</v>
      </c>
      <c r="C126" s="70">
        <v>10139.799999999999</v>
      </c>
      <c r="D126" s="71">
        <f t="shared" si="48"/>
        <v>36939.4</v>
      </c>
      <c r="E126" s="72">
        <f t="shared" si="49"/>
        <v>36939.4</v>
      </c>
      <c r="F126" s="73">
        <f t="shared" si="34"/>
        <v>0</v>
      </c>
      <c r="G126" s="74"/>
      <c r="H126" s="72"/>
      <c r="I126" s="73">
        <f t="shared" si="35"/>
        <v>0</v>
      </c>
      <c r="J126" s="75">
        <v>0</v>
      </c>
      <c r="K126" s="74">
        <v>0</v>
      </c>
      <c r="L126" s="76">
        <f t="shared" si="36"/>
        <v>0</v>
      </c>
      <c r="M126" s="74">
        <v>0</v>
      </c>
      <c r="N126" s="77">
        <v>0</v>
      </c>
      <c r="O126" s="73">
        <f t="shared" si="37"/>
        <v>0</v>
      </c>
      <c r="P126" s="78">
        <v>36939.4</v>
      </c>
      <c r="Q126" s="72">
        <f t="shared" si="38"/>
        <v>36939.4</v>
      </c>
      <c r="R126" s="76">
        <f t="shared" si="39"/>
        <v>0</v>
      </c>
      <c r="S126" s="75">
        <v>0</v>
      </c>
      <c r="T126" s="74">
        <v>0</v>
      </c>
      <c r="U126" s="73">
        <f t="shared" si="40"/>
        <v>0</v>
      </c>
      <c r="V126" s="71">
        <f t="shared" si="50"/>
        <v>39479.1</v>
      </c>
      <c r="W126" s="72">
        <f t="shared" si="50"/>
        <v>39479.1</v>
      </c>
      <c r="X126" s="73">
        <f t="shared" si="42"/>
        <v>0</v>
      </c>
      <c r="Y126" s="75">
        <v>30380.2</v>
      </c>
      <c r="Z126" s="74">
        <v>30380.2</v>
      </c>
      <c r="AA126" s="73">
        <f t="shared" si="43"/>
        <v>0</v>
      </c>
      <c r="AB126" s="71">
        <v>8480.4999999999964</v>
      </c>
      <c r="AC126" s="72">
        <v>8480.4999999999964</v>
      </c>
      <c r="AD126" s="73">
        <f t="shared" si="44"/>
        <v>0</v>
      </c>
      <c r="AE126" s="71"/>
      <c r="AF126" s="72"/>
      <c r="AG126" s="73">
        <f t="shared" si="45"/>
        <v>0</v>
      </c>
      <c r="AH126" s="75">
        <v>618.4</v>
      </c>
      <c r="AI126" s="74">
        <v>618.4</v>
      </c>
      <c r="AJ126" s="73">
        <f t="shared" si="46"/>
        <v>0</v>
      </c>
      <c r="AL126" s="79"/>
      <c r="AM126" s="79"/>
    </row>
    <row r="127" spans="1:39" ht="28.5" customHeight="1">
      <c r="A127" s="68">
        <v>111</v>
      </c>
      <c r="B127" s="91" t="s">
        <v>91</v>
      </c>
      <c r="C127" s="70">
        <v>6007</v>
      </c>
      <c r="D127" s="71">
        <f t="shared" si="48"/>
        <v>12656.6</v>
      </c>
      <c r="E127" s="72">
        <f t="shared" si="49"/>
        <v>12656.6</v>
      </c>
      <c r="F127" s="73">
        <f t="shared" si="34"/>
        <v>0</v>
      </c>
      <c r="G127" s="74"/>
      <c r="H127" s="72"/>
      <c r="I127" s="73">
        <f t="shared" si="35"/>
        <v>0</v>
      </c>
      <c r="J127" s="75">
        <v>0</v>
      </c>
      <c r="K127" s="74">
        <v>0</v>
      </c>
      <c r="L127" s="76">
        <f t="shared" si="36"/>
        <v>0</v>
      </c>
      <c r="M127" s="74">
        <v>0</v>
      </c>
      <c r="N127" s="77">
        <v>0</v>
      </c>
      <c r="O127" s="73">
        <f t="shared" si="37"/>
        <v>0</v>
      </c>
      <c r="P127" s="78">
        <v>12649.2</v>
      </c>
      <c r="Q127" s="72">
        <f t="shared" si="38"/>
        <v>12649.2</v>
      </c>
      <c r="R127" s="76">
        <f t="shared" si="39"/>
        <v>0</v>
      </c>
      <c r="S127" s="75">
        <f>4.4+3</f>
        <v>7.4</v>
      </c>
      <c r="T127" s="74">
        <f>4.4+3</f>
        <v>7.4</v>
      </c>
      <c r="U127" s="73">
        <f t="shared" si="40"/>
        <v>0</v>
      </c>
      <c r="V127" s="71">
        <f t="shared" si="50"/>
        <v>12602.2</v>
      </c>
      <c r="W127" s="72">
        <f t="shared" si="50"/>
        <v>12602.2</v>
      </c>
      <c r="X127" s="73">
        <f t="shared" si="42"/>
        <v>0</v>
      </c>
      <c r="Y127" s="75">
        <v>9790.6</v>
      </c>
      <c r="Z127" s="74">
        <v>9790.6</v>
      </c>
      <c r="AA127" s="73">
        <f t="shared" si="43"/>
        <v>0</v>
      </c>
      <c r="AB127" s="71">
        <v>2811.6000000000004</v>
      </c>
      <c r="AC127" s="72">
        <v>2811.6000000000004</v>
      </c>
      <c r="AD127" s="73">
        <f t="shared" si="44"/>
        <v>0</v>
      </c>
      <c r="AE127" s="71"/>
      <c r="AF127" s="72"/>
      <c r="AG127" s="73">
        <f t="shared" si="45"/>
        <v>0</v>
      </c>
      <c r="AH127" s="75">
        <v>0</v>
      </c>
      <c r="AI127" s="74">
        <v>0</v>
      </c>
      <c r="AJ127" s="73">
        <f t="shared" si="46"/>
        <v>0</v>
      </c>
      <c r="AL127" s="79"/>
      <c r="AM127" s="79"/>
    </row>
    <row r="128" spans="1:39" ht="28.5" customHeight="1">
      <c r="A128" s="68">
        <v>112</v>
      </c>
      <c r="B128" s="91" t="s">
        <v>92</v>
      </c>
      <c r="C128" s="70">
        <v>6943.7</v>
      </c>
      <c r="D128" s="71">
        <f t="shared" si="48"/>
        <v>34486.6</v>
      </c>
      <c r="E128" s="72">
        <f t="shared" si="49"/>
        <v>34486.6</v>
      </c>
      <c r="F128" s="73">
        <f t="shared" si="34"/>
        <v>0</v>
      </c>
      <c r="G128" s="74"/>
      <c r="H128" s="72"/>
      <c r="I128" s="73">
        <f t="shared" si="35"/>
        <v>0</v>
      </c>
      <c r="J128" s="75">
        <v>0</v>
      </c>
      <c r="K128" s="74">
        <v>0</v>
      </c>
      <c r="L128" s="76">
        <f t="shared" si="36"/>
        <v>0</v>
      </c>
      <c r="M128" s="74">
        <v>0</v>
      </c>
      <c r="N128" s="77">
        <v>0</v>
      </c>
      <c r="O128" s="73">
        <f t="shared" si="37"/>
        <v>0</v>
      </c>
      <c r="P128" s="78">
        <v>28287.3</v>
      </c>
      <c r="Q128" s="72">
        <f t="shared" si="38"/>
        <v>28287.3</v>
      </c>
      <c r="R128" s="76">
        <f t="shared" si="39"/>
        <v>0</v>
      </c>
      <c r="S128" s="75">
        <f>163.6+1500+4500+35.7</f>
        <v>6199.3</v>
      </c>
      <c r="T128" s="74">
        <f>163.6+1500+4500+35.7</f>
        <v>6199.3</v>
      </c>
      <c r="U128" s="73">
        <f t="shared" si="40"/>
        <v>0</v>
      </c>
      <c r="V128" s="71">
        <f t="shared" si="50"/>
        <v>26075.4</v>
      </c>
      <c r="W128" s="72">
        <f t="shared" si="50"/>
        <v>26075.4</v>
      </c>
      <c r="X128" s="73">
        <f t="shared" si="42"/>
        <v>0</v>
      </c>
      <c r="Y128" s="75">
        <v>18794.099999999999</v>
      </c>
      <c r="Z128" s="74">
        <v>18794.099999999999</v>
      </c>
      <c r="AA128" s="73">
        <f t="shared" si="43"/>
        <v>0</v>
      </c>
      <c r="AB128" s="71">
        <v>3214.9000000000015</v>
      </c>
      <c r="AC128" s="72">
        <v>3214.9000000000015</v>
      </c>
      <c r="AD128" s="73">
        <f t="shared" si="44"/>
        <v>0</v>
      </c>
      <c r="AE128" s="71"/>
      <c r="AF128" s="72"/>
      <c r="AG128" s="73">
        <f t="shared" si="45"/>
        <v>0</v>
      </c>
      <c r="AH128" s="75">
        <v>4066.4</v>
      </c>
      <c r="AI128" s="74">
        <v>4066.4</v>
      </c>
      <c r="AJ128" s="73">
        <f t="shared" si="46"/>
        <v>0</v>
      </c>
      <c r="AL128" s="79"/>
      <c r="AM128" s="79"/>
    </row>
    <row r="129" spans="1:39" ht="28.5" customHeight="1">
      <c r="A129" s="68">
        <v>113</v>
      </c>
      <c r="B129" s="91" t="s">
        <v>40</v>
      </c>
      <c r="C129" s="70">
        <v>12775.1</v>
      </c>
      <c r="D129" s="71">
        <f t="shared" si="48"/>
        <v>39101.800000000003</v>
      </c>
      <c r="E129" s="72">
        <f t="shared" si="49"/>
        <v>39101.800000000003</v>
      </c>
      <c r="F129" s="73">
        <f t="shared" si="34"/>
        <v>0</v>
      </c>
      <c r="G129" s="74"/>
      <c r="H129" s="72"/>
      <c r="I129" s="73">
        <f t="shared" si="35"/>
        <v>0</v>
      </c>
      <c r="J129" s="75">
        <v>0</v>
      </c>
      <c r="K129" s="74">
        <v>0</v>
      </c>
      <c r="L129" s="76">
        <f t="shared" si="36"/>
        <v>0</v>
      </c>
      <c r="M129" s="74">
        <v>0</v>
      </c>
      <c r="N129" s="77">
        <v>0</v>
      </c>
      <c r="O129" s="73">
        <f t="shared" si="37"/>
        <v>0</v>
      </c>
      <c r="P129" s="78">
        <v>39022.5</v>
      </c>
      <c r="Q129" s="72">
        <f t="shared" si="38"/>
        <v>39022.5</v>
      </c>
      <c r="R129" s="76">
        <f t="shared" si="39"/>
        <v>0</v>
      </c>
      <c r="S129" s="75">
        <f>15.8+62+1.5</f>
        <v>79.3</v>
      </c>
      <c r="T129" s="74">
        <f>15.8+62+1.5</f>
        <v>79.3</v>
      </c>
      <c r="U129" s="73">
        <f t="shared" si="40"/>
        <v>0</v>
      </c>
      <c r="V129" s="71">
        <f t="shared" si="50"/>
        <v>44543.6</v>
      </c>
      <c r="W129" s="72">
        <f t="shared" si="50"/>
        <v>44543.6</v>
      </c>
      <c r="X129" s="73">
        <f t="shared" si="42"/>
        <v>0</v>
      </c>
      <c r="Y129" s="75">
        <v>37164.699999999997</v>
      </c>
      <c r="Z129" s="74">
        <v>37164.699999999997</v>
      </c>
      <c r="AA129" s="73">
        <f t="shared" si="43"/>
        <v>0</v>
      </c>
      <c r="AB129" s="71">
        <v>7369.4000000000015</v>
      </c>
      <c r="AC129" s="72">
        <v>7369.4000000000015</v>
      </c>
      <c r="AD129" s="73">
        <f t="shared" si="44"/>
        <v>0</v>
      </c>
      <c r="AE129" s="71"/>
      <c r="AF129" s="72"/>
      <c r="AG129" s="73">
        <f t="shared" si="45"/>
        <v>0</v>
      </c>
      <c r="AH129" s="75">
        <v>9.5</v>
      </c>
      <c r="AI129" s="74">
        <v>9.5</v>
      </c>
      <c r="AJ129" s="73">
        <f t="shared" si="46"/>
        <v>0</v>
      </c>
      <c r="AL129" s="79"/>
      <c r="AM129" s="79"/>
    </row>
    <row r="130" spans="1:39" ht="28.5" customHeight="1">
      <c r="A130" s="68">
        <v>114</v>
      </c>
      <c r="B130" s="91" t="s">
        <v>93</v>
      </c>
      <c r="C130" s="70">
        <v>9873.4</v>
      </c>
      <c r="D130" s="71">
        <f t="shared" si="48"/>
        <v>28176.799999999999</v>
      </c>
      <c r="E130" s="72">
        <f t="shared" si="49"/>
        <v>28176.799999999999</v>
      </c>
      <c r="F130" s="73">
        <f t="shared" si="34"/>
        <v>0</v>
      </c>
      <c r="G130" s="74"/>
      <c r="H130" s="72"/>
      <c r="I130" s="73">
        <f t="shared" si="35"/>
        <v>0</v>
      </c>
      <c r="J130" s="75">
        <v>0</v>
      </c>
      <c r="K130" s="74">
        <v>0</v>
      </c>
      <c r="L130" s="76">
        <f t="shared" si="36"/>
        <v>0</v>
      </c>
      <c r="M130" s="74">
        <v>0</v>
      </c>
      <c r="N130" s="77">
        <v>0</v>
      </c>
      <c r="O130" s="73">
        <f t="shared" si="37"/>
        <v>0</v>
      </c>
      <c r="P130" s="78">
        <v>28147.7</v>
      </c>
      <c r="Q130" s="72">
        <f t="shared" si="38"/>
        <v>28147.7</v>
      </c>
      <c r="R130" s="76">
        <f t="shared" si="39"/>
        <v>0</v>
      </c>
      <c r="S130" s="75">
        <f>6.4+22.7</f>
        <v>29.1</v>
      </c>
      <c r="T130" s="74">
        <f>6.4+22.7</f>
        <v>29.1</v>
      </c>
      <c r="U130" s="73">
        <f t="shared" si="40"/>
        <v>0</v>
      </c>
      <c r="V130" s="71">
        <f t="shared" si="50"/>
        <v>29924.7</v>
      </c>
      <c r="W130" s="72">
        <f t="shared" si="50"/>
        <v>29924.7</v>
      </c>
      <c r="X130" s="73">
        <f t="shared" si="42"/>
        <v>0</v>
      </c>
      <c r="Y130" s="75">
        <v>21897.4</v>
      </c>
      <c r="Z130" s="74">
        <v>21897.4</v>
      </c>
      <c r="AA130" s="73">
        <f t="shared" si="43"/>
        <v>0</v>
      </c>
      <c r="AB130" s="71">
        <v>7980.2999999999993</v>
      </c>
      <c r="AC130" s="72">
        <v>7980.2999999999993</v>
      </c>
      <c r="AD130" s="73">
        <f t="shared" si="44"/>
        <v>0</v>
      </c>
      <c r="AE130" s="71"/>
      <c r="AF130" s="72"/>
      <c r="AG130" s="73">
        <f t="shared" si="45"/>
        <v>0</v>
      </c>
      <c r="AH130" s="75">
        <v>47</v>
      </c>
      <c r="AI130" s="74">
        <v>47</v>
      </c>
      <c r="AJ130" s="73">
        <f t="shared" si="46"/>
        <v>0</v>
      </c>
      <c r="AL130" s="79"/>
      <c r="AM130" s="79"/>
    </row>
    <row r="131" spans="1:39" ht="28.5" customHeight="1">
      <c r="A131" s="68">
        <v>115</v>
      </c>
      <c r="B131" s="91" t="s">
        <v>94</v>
      </c>
      <c r="C131" s="70">
        <v>3075.3</v>
      </c>
      <c r="D131" s="71">
        <f t="shared" si="48"/>
        <v>17999.600000000002</v>
      </c>
      <c r="E131" s="72">
        <f t="shared" si="49"/>
        <v>17999.600000000002</v>
      </c>
      <c r="F131" s="73">
        <f t="shared" si="34"/>
        <v>0</v>
      </c>
      <c r="G131" s="74"/>
      <c r="H131" s="72"/>
      <c r="I131" s="73">
        <f t="shared" si="35"/>
        <v>0</v>
      </c>
      <c r="J131" s="75">
        <v>0</v>
      </c>
      <c r="K131" s="74">
        <v>0</v>
      </c>
      <c r="L131" s="76">
        <f t="shared" si="36"/>
        <v>0</v>
      </c>
      <c r="M131" s="74">
        <v>0</v>
      </c>
      <c r="N131" s="77">
        <v>0</v>
      </c>
      <c r="O131" s="73">
        <f t="shared" si="37"/>
        <v>0</v>
      </c>
      <c r="P131" s="78">
        <v>17990.7</v>
      </c>
      <c r="Q131" s="72">
        <f t="shared" si="38"/>
        <v>17990.7</v>
      </c>
      <c r="R131" s="76">
        <f t="shared" si="39"/>
        <v>0</v>
      </c>
      <c r="S131" s="75">
        <v>8.9</v>
      </c>
      <c r="T131" s="74">
        <v>8.9</v>
      </c>
      <c r="U131" s="73">
        <f t="shared" si="40"/>
        <v>0</v>
      </c>
      <c r="V131" s="71">
        <f t="shared" si="50"/>
        <v>18111.8</v>
      </c>
      <c r="W131" s="72">
        <f t="shared" si="50"/>
        <v>18111.8</v>
      </c>
      <c r="X131" s="73">
        <f t="shared" si="42"/>
        <v>0</v>
      </c>
      <c r="Y131" s="75">
        <v>13350.6</v>
      </c>
      <c r="Z131" s="74">
        <v>13350.6</v>
      </c>
      <c r="AA131" s="73">
        <f t="shared" si="43"/>
        <v>0</v>
      </c>
      <c r="AB131" s="71">
        <v>4749.7999999999975</v>
      </c>
      <c r="AC131" s="72">
        <v>4749.7999999999975</v>
      </c>
      <c r="AD131" s="73">
        <f t="shared" si="44"/>
        <v>0</v>
      </c>
      <c r="AE131" s="71"/>
      <c r="AF131" s="72"/>
      <c r="AG131" s="73">
        <f t="shared" si="45"/>
        <v>0</v>
      </c>
      <c r="AH131" s="75">
        <v>11.4</v>
      </c>
      <c r="AI131" s="74">
        <v>11.4</v>
      </c>
      <c r="AJ131" s="73">
        <f t="shared" si="46"/>
        <v>0</v>
      </c>
      <c r="AL131" s="79"/>
      <c r="AM131" s="79"/>
    </row>
    <row r="132" spans="1:39" ht="28.5" customHeight="1">
      <c r="A132" s="68">
        <v>116</v>
      </c>
      <c r="B132" s="80" t="s">
        <v>95</v>
      </c>
      <c r="C132" s="70">
        <v>31186</v>
      </c>
      <c r="D132" s="71">
        <f t="shared" si="48"/>
        <v>38463</v>
      </c>
      <c r="E132" s="72">
        <f t="shared" si="49"/>
        <v>38463</v>
      </c>
      <c r="F132" s="73">
        <f t="shared" si="34"/>
        <v>0</v>
      </c>
      <c r="G132" s="74"/>
      <c r="H132" s="72"/>
      <c r="I132" s="73">
        <f t="shared" si="35"/>
        <v>0</v>
      </c>
      <c r="J132" s="75">
        <v>0</v>
      </c>
      <c r="K132" s="74">
        <v>0</v>
      </c>
      <c r="L132" s="76">
        <f t="shared" si="36"/>
        <v>0</v>
      </c>
      <c r="M132" s="74">
        <v>0</v>
      </c>
      <c r="N132" s="77">
        <v>0</v>
      </c>
      <c r="O132" s="73">
        <f t="shared" si="37"/>
        <v>0</v>
      </c>
      <c r="P132" s="78">
        <v>38448</v>
      </c>
      <c r="Q132" s="72">
        <f t="shared" si="38"/>
        <v>38448</v>
      </c>
      <c r="R132" s="76">
        <f t="shared" si="39"/>
        <v>0</v>
      </c>
      <c r="S132" s="75">
        <v>15</v>
      </c>
      <c r="T132" s="74">
        <v>15</v>
      </c>
      <c r="U132" s="73">
        <f t="shared" si="40"/>
        <v>0</v>
      </c>
      <c r="V132" s="71">
        <f t="shared" si="50"/>
        <v>30212.5</v>
      </c>
      <c r="W132" s="72">
        <f t="shared" si="50"/>
        <v>30212.5</v>
      </c>
      <c r="X132" s="73">
        <f t="shared" si="42"/>
        <v>0</v>
      </c>
      <c r="Y132" s="75">
        <v>23361.200000000001</v>
      </c>
      <c r="Z132" s="74">
        <v>23361.200000000001</v>
      </c>
      <c r="AA132" s="73">
        <f t="shared" si="43"/>
        <v>0</v>
      </c>
      <c r="AB132" s="71">
        <v>6792.2999999999993</v>
      </c>
      <c r="AC132" s="72">
        <v>6792.2999999999993</v>
      </c>
      <c r="AD132" s="73">
        <f t="shared" si="44"/>
        <v>0</v>
      </c>
      <c r="AE132" s="71"/>
      <c r="AF132" s="72"/>
      <c r="AG132" s="73">
        <f t="shared" si="45"/>
        <v>0</v>
      </c>
      <c r="AH132" s="75">
        <v>59</v>
      </c>
      <c r="AI132" s="74">
        <v>59</v>
      </c>
      <c r="AJ132" s="73">
        <f t="shared" si="46"/>
        <v>0</v>
      </c>
      <c r="AL132" s="79"/>
      <c r="AM132" s="79"/>
    </row>
    <row r="133" spans="1:39" ht="28.5" customHeight="1">
      <c r="A133" s="68">
        <v>117</v>
      </c>
      <c r="B133" s="80" t="s">
        <v>194</v>
      </c>
      <c r="C133" s="70">
        <v>5002</v>
      </c>
      <c r="D133" s="71">
        <f t="shared" si="48"/>
        <v>7421.0999999999995</v>
      </c>
      <c r="E133" s="72">
        <f t="shared" si="49"/>
        <v>7421.0999999999995</v>
      </c>
      <c r="F133" s="73">
        <f t="shared" si="34"/>
        <v>0</v>
      </c>
      <c r="G133" s="74"/>
      <c r="H133" s="72"/>
      <c r="I133" s="73">
        <f t="shared" si="35"/>
        <v>0</v>
      </c>
      <c r="J133" s="75">
        <v>0</v>
      </c>
      <c r="K133" s="74">
        <v>0</v>
      </c>
      <c r="L133" s="76">
        <f t="shared" si="36"/>
        <v>0</v>
      </c>
      <c r="M133" s="74">
        <v>0</v>
      </c>
      <c r="N133" s="77">
        <v>0</v>
      </c>
      <c r="O133" s="73">
        <f t="shared" si="37"/>
        <v>0</v>
      </c>
      <c r="P133" s="78">
        <v>7372.2</v>
      </c>
      <c r="Q133" s="72">
        <f t="shared" si="38"/>
        <v>7372.2</v>
      </c>
      <c r="R133" s="76">
        <f t="shared" si="39"/>
        <v>0</v>
      </c>
      <c r="S133" s="75">
        <f>30+18.8+0.1</f>
        <v>48.9</v>
      </c>
      <c r="T133" s="74">
        <f>30+18.8+0.1</f>
        <v>48.9</v>
      </c>
      <c r="U133" s="73">
        <f t="shared" si="40"/>
        <v>0</v>
      </c>
      <c r="V133" s="71">
        <f t="shared" si="50"/>
        <v>11091.9</v>
      </c>
      <c r="W133" s="72">
        <f t="shared" si="50"/>
        <v>11091.9</v>
      </c>
      <c r="X133" s="73">
        <f t="shared" si="42"/>
        <v>0</v>
      </c>
      <c r="Y133" s="75">
        <v>8997.6</v>
      </c>
      <c r="Z133" s="74">
        <v>8997.6</v>
      </c>
      <c r="AA133" s="73">
        <f t="shared" si="43"/>
        <v>0</v>
      </c>
      <c r="AB133" s="71">
        <v>2094.2999999999993</v>
      </c>
      <c r="AC133" s="72">
        <v>2094.2999999999993</v>
      </c>
      <c r="AD133" s="73">
        <f t="shared" si="44"/>
        <v>0</v>
      </c>
      <c r="AE133" s="71"/>
      <c r="AF133" s="72"/>
      <c r="AG133" s="73">
        <f t="shared" si="45"/>
        <v>0</v>
      </c>
      <c r="AH133" s="75">
        <v>0</v>
      </c>
      <c r="AI133" s="74">
        <v>0</v>
      </c>
      <c r="AJ133" s="73">
        <f t="shared" si="46"/>
        <v>0</v>
      </c>
      <c r="AL133" s="79"/>
      <c r="AM133" s="79"/>
    </row>
    <row r="134" spans="1:39" ht="24" customHeight="1">
      <c r="A134" s="68">
        <v>118</v>
      </c>
      <c r="B134" s="69" t="s">
        <v>83</v>
      </c>
      <c r="C134" s="70">
        <v>0</v>
      </c>
      <c r="D134" s="71">
        <f t="shared" si="48"/>
        <v>7018.4</v>
      </c>
      <c r="E134" s="72">
        <f t="shared" si="49"/>
        <v>7018.4</v>
      </c>
      <c r="F134" s="73">
        <f>D134-E134</f>
        <v>0</v>
      </c>
      <c r="G134" s="74"/>
      <c r="H134" s="72"/>
      <c r="I134" s="73">
        <f>G134-H134</f>
        <v>0</v>
      </c>
      <c r="J134" s="75">
        <v>0</v>
      </c>
      <c r="K134" s="74">
        <v>0</v>
      </c>
      <c r="L134" s="76">
        <f>J134-K134</f>
        <v>0</v>
      </c>
      <c r="M134" s="74">
        <v>0</v>
      </c>
      <c r="N134" s="77">
        <v>0</v>
      </c>
      <c r="O134" s="73">
        <f>M134-N134</f>
        <v>0</v>
      </c>
      <c r="P134" s="78">
        <v>7018.4</v>
      </c>
      <c r="Q134" s="72">
        <f>+P134</f>
        <v>7018.4</v>
      </c>
      <c r="R134" s="76">
        <f>P134-Q134</f>
        <v>0</v>
      </c>
      <c r="S134" s="75">
        <v>0</v>
      </c>
      <c r="T134" s="74">
        <v>0</v>
      </c>
      <c r="U134" s="73">
        <f>S134-T134</f>
        <v>0</v>
      </c>
      <c r="V134" s="71">
        <f t="shared" si="50"/>
        <v>6540</v>
      </c>
      <c r="W134" s="72">
        <f t="shared" si="50"/>
        <v>6540</v>
      </c>
      <c r="X134" s="73">
        <f>V134-W134</f>
        <v>0</v>
      </c>
      <c r="Y134" s="75">
        <v>5538</v>
      </c>
      <c r="Z134" s="74">
        <v>5538</v>
      </c>
      <c r="AA134" s="73">
        <f>Y134-Z134</f>
        <v>0</v>
      </c>
      <c r="AB134" s="71">
        <v>1002</v>
      </c>
      <c r="AC134" s="72">
        <v>1002</v>
      </c>
      <c r="AD134" s="73">
        <f>AB134-AC134</f>
        <v>0</v>
      </c>
      <c r="AE134" s="71"/>
      <c r="AF134" s="72"/>
      <c r="AG134" s="73">
        <f>AE134-AF134</f>
        <v>0</v>
      </c>
      <c r="AH134" s="75">
        <v>0</v>
      </c>
      <c r="AI134" s="74">
        <v>0</v>
      </c>
      <c r="AJ134" s="73">
        <f>AH134-AI134</f>
        <v>0</v>
      </c>
      <c r="AL134" s="79"/>
      <c r="AM134" s="79"/>
    </row>
    <row r="135" spans="1:39" ht="27" customHeight="1">
      <c r="A135" s="68">
        <v>119</v>
      </c>
      <c r="B135" s="89" t="s">
        <v>38</v>
      </c>
      <c r="C135" s="70">
        <v>4824</v>
      </c>
      <c r="D135" s="71">
        <f t="shared" si="48"/>
        <v>8395.7000000000007</v>
      </c>
      <c r="E135" s="72">
        <f t="shared" si="49"/>
        <v>8395.7000000000007</v>
      </c>
      <c r="F135" s="73">
        <f>D135-E135</f>
        <v>0</v>
      </c>
      <c r="G135" s="74"/>
      <c r="H135" s="72"/>
      <c r="I135" s="73">
        <f>G135-H135</f>
        <v>0</v>
      </c>
      <c r="J135" s="75">
        <v>0</v>
      </c>
      <c r="K135" s="74">
        <v>0</v>
      </c>
      <c r="L135" s="76">
        <f>J135-K135</f>
        <v>0</v>
      </c>
      <c r="M135" s="74">
        <v>0</v>
      </c>
      <c r="N135" s="77">
        <v>0</v>
      </c>
      <c r="O135" s="73">
        <f>M135-N135</f>
        <v>0</v>
      </c>
      <c r="P135" s="78">
        <v>8395.7000000000007</v>
      </c>
      <c r="Q135" s="72">
        <f>+P135</f>
        <v>8395.7000000000007</v>
      </c>
      <c r="R135" s="76">
        <f>P135-Q135</f>
        <v>0</v>
      </c>
      <c r="S135" s="75">
        <v>0</v>
      </c>
      <c r="T135" s="74">
        <v>0</v>
      </c>
      <c r="U135" s="73">
        <f>S135-T135</f>
        <v>0</v>
      </c>
      <c r="V135" s="71">
        <f t="shared" si="50"/>
        <v>8588.2000000000007</v>
      </c>
      <c r="W135" s="72">
        <f t="shared" si="50"/>
        <v>8588.2000000000007</v>
      </c>
      <c r="X135" s="73">
        <f>V135-W135</f>
        <v>0</v>
      </c>
      <c r="Y135" s="75">
        <v>6230.1</v>
      </c>
      <c r="Z135" s="74">
        <v>6230.1</v>
      </c>
      <c r="AA135" s="73">
        <f>Y135-Z135</f>
        <v>0</v>
      </c>
      <c r="AB135" s="71">
        <v>2358.1000000000004</v>
      </c>
      <c r="AC135" s="72">
        <v>2358.1000000000004</v>
      </c>
      <c r="AD135" s="73">
        <f>AB135-AC135</f>
        <v>0</v>
      </c>
      <c r="AE135" s="71"/>
      <c r="AF135" s="72"/>
      <c r="AG135" s="73">
        <f>AE135-AF135</f>
        <v>0</v>
      </c>
      <c r="AH135" s="75">
        <v>0</v>
      </c>
      <c r="AI135" s="74">
        <v>0</v>
      </c>
      <c r="AJ135" s="73">
        <f>AH135-AI135</f>
        <v>0</v>
      </c>
      <c r="AL135" s="79"/>
      <c r="AM135" s="79"/>
    </row>
    <row r="136" spans="1:39" ht="24" customHeight="1">
      <c r="A136" s="68">
        <v>120</v>
      </c>
      <c r="B136" s="89" t="s">
        <v>39</v>
      </c>
      <c r="C136" s="70">
        <v>11027.7</v>
      </c>
      <c r="D136" s="71">
        <f t="shared" si="48"/>
        <v>13362.6</v>
      </c>
      <c r="E136" s="72">
        <f t="shared" si="49"/>
        <v>13362.6</v>
      </c>
      <c r="F136" s="73">
        <f>D136-E136</f>
        <v>0</v>
      </c>
      <c r="G136" s="74"/>
      <c r="H136" s="72"/>
      <c r="I136" s="73">
        <f>G136-H136</f>
        <v>0</v>
      </c>
      <c r="J136" s="75">
        <v>0</v>
      </c>
      <c r="K136" s="74">
        <v>0</v>
      </c>
      <c r="L136" s="76">
        <f>J136-K136</f>
        <v>0</v>
      </c>
      <c r="M136" s="74">
        <v>0</v>
      </c>
      <c r="N136" s="77">
        <v>0</v>
      </c>
      <c r="O136" s="73">
        <f>M136-N136</f>
        <v>0</v>
      </c>
      <c r="P136" s="78">
        <v>13362.6</v>
      </c>
      <c r="Q136" s="72">
        <f>+P136</f>
        <v>13362.6</v>
      </c>
      <c r="R136" s="76">
        <f>P136-Q136</f>
        <v>0</v>
      </c>
      <c r="S136" s="75">
        <v>0</v>
      </c>
      <c r="T136" s="74">
        <v>0</v>
      </c>
      <c r="U136" s="73">
        <f>S136-T136</f>
        <v>0</v>
      </c>
      <c r="V136" s="71">
        <f t="shared" si="50"/>
        <v>13176</v>
      </c>
      <c r="W136" s="72">
        <f t="shared" si="50"/>
        <v>13176</v>
      </c>
      <c r="X136" s="73">
        <f>V136-W136</f>
        <v>0</v>
      </c>
      <c r="Y136" s="75">
        <v>10634</v>
      </c>
      <c r="Z136" s="74">
        <v>10634</v>
      </c>
      <c r="AA136" s="73">
        <f>Y136-Z136</f>
        <v>0</v>
      </c>
      <c r="AB136" s="71">
        <v>2521</v>
      </c>
      <c r="AC136" s="72">
        <v>2521</v>
      </c>
      <c r="AD136" s="73">
        <f>AB136-AC136</f>
        <v>0</v>
      </c>
      <c r="AE136" s="71"/>
      <c r="AF136" s="72"/>
      <c r="AG136" s="73">
        <f>AE136-AF136</f>
        <v>0</v>
      </c>
      <c r="AH136" s="75">
        <v>21</v>
      </c>
      <c r="AI136" s="74">
        <v>21</v>
      </c>
      <c r="AJ136" s="73">
        <f>AH136-AI136</f>
        <v>0</v>
      </c>
      <c r="AL136" s="79"/>
      <c r="AM136" s="79"/>
    </row>
    <row r="137" spans="1:39" ht="24" customHeight="1">
      <c r="A137" s="68">
        <v>121</v>
      </c>
      <c r="B137" s="69" t="s">
        <v>133</v>
      </c>
      <c r="C137" s="70">
        <v>13084</v>
      </c>
      <c r="D137" s="71">
        <f t="shared" si="48"/>
        <v>22152.3</v>
      </c>
      <c r="E137" s="72">
        <f t="shared" si="49"/>
        <v>22152.3</v>
      </c>
      <c r="F137" s="73">
        <f>D137-E137</f>
        <v>0</v>
      </c>
      <c r="G137" s="74"/>
      <c r="H137" s="72"/>
      <c r="I137" s="73">
        <f>G137-H137</f>
        <v>0</v>
      </c>
      <c r="J137" s="75">
        <v>0</v>
      </c>
      <c r="K137" s="74">
        <v>0</v>
      </c>
      <c r="L137" s="76">
        <f>J137-K137</f>
        <v>0</v>
      </c>
      <c r="M137" s="74">
        <v>0</v>
      </c>
      <c r="N137" s="77">
        <v>0</v>
      </c>
      <c r="O137" s="73">
        <f>M137-N137</f>
        <v>0</v>
      </c>
      <c r="P137" s="78">
        <v>22104.3</v>
      </c>
      <c r="Q137" s="72">
        <f t="shared" ref="Q137:Q175" si="51">+P137</f>
        <v>22104.3</v>
      </c>
      <c r="R137" s="76">
        <f>P137-Q137</f>
        <v>0</v>
      </c>
      <c r="S137" s="75">
        <v>48</v>
      </c>
      <c r="T137" s="74">
        <v>48</v>
      </c>
      <c r="U137" s="73">
        <f>S137-T137</f>
        <v>0</v>
      </c>
      <c r="V137" s="71">
        <f>Y137+AB137+AE137+AH137</f>
        <v>21305.7</v>
      </c>
      <c r="W137" s="72">
        <f>Z137+AC137+AF137+AI137</f>
        <v>21305.7</v>
      </c>
      <c r="X137" s="73">
        <f>V137-W137</f>
        <v>0</v>
      </c>
      <c r="Y137" s="75">
        <v>18639</v>
      </c>
      <c r="Z137" s="74">
        <v>18639</v>
      </c>
      <c r="AA137" s="73">
        <f>Y137-Z137</f>
        <v>0</v>
      </c>
      <c r="AB137" s="71">
        <v>2666.7000000000007</v>
      </c>
      <c r="AC137" s="72">
        <v>2666.7000000000007</v>
      </c>
      <c r="AD137" s="73">
        <f>AB137-AC137</f>
        <v>0</v>
      </c>
      <c r="AE137" s="71"/>
      <c r="AF137" s="72"/>
      <c r="AG137" s="73">
        <f>AE137-AF137</f>
        <v>0</v>
      </c>
      <c r="AH137" s="75">
        <v>0</v>
      </c>
      <c r="AI137" s="74">
        <v>0</v>
      </c>
      <c r="AJ137" s="73">
        <f>AH137-AI137</f>
        <v>0</v>
      </c>
      <c r="AL137" s="79"/>
      <c r="AM137" s="79"/>
    </row>
    <row r="138" spans="1:39" ht="24" customHeight="1">
      <c r="A138" s="68">
        <v>122</v>
      </c>
      <c r="B138" s="80" t="s">
        <v>134</v>
      </c>
      <c r="C138" s="70">
        <v>11039.9</v>
      </c>
      <c r="D138" s="71">
        <f t="shared" si="48"/>
        <v>21759.599999999999</v>
      </c>
      <c r="E138" s="72">
        <f t="shared" si="49"/>
        <v>21759.599999999999</v>
      </c>
      <c r="F138" s="73">
        <f>D138-E138</f>
        <v>0</v>
      </c>
      <c r="G138" s="74"/>
      <c r="H138" s="72"/>
      <c r="I138" s="73">
        <f>G138-H138</f>
        <v>0</v>
      </c>
      <c r="J138" s="75">
        <v>0</v>
      </c>
      <c r="K138" s="74">
        <v>0</v>
      </c>
      <c r="L138" s="76">
        <f>J138-K138</f>
        <v>0</v>
      </c>
      <c r="M138" s="74">
        <v>0</v>
      </c>
      <c r="N138" s="77">
        <v>0</v>
      </c>
      <c r="O138" s="73">
        <f>M138-N138</f>
        <v>0</v>
      </c>
      <c r="P138" s="78">
        <v>21759.599999999999</v>
      </c>
      <c r="Q138" s="72">
        <f>+P138</f>
        <v>21759.599999999999</v>
      </c>
      <c r="R138" s="76">
        <f>P138-Q138</f>
        <v>0</v>
      </c>
      <c r="S138" s="75">
        <v>0</v>
      </c>
      <c r="T138" s="74">
        <v>0</v>
      </c>
      <c r="U138" s="73">
        <f>S138-T138</f>
        <v>0</v>
      </c>
      <c r="V138" s="71">
        <f>Y138+AB138+AE138+AH138</f>
        <v>18405.400000000001</v>
      </c>
      <c r="W138" s="72">
        <f>Z138+AC138+AF138+AI138</f>
        <v>18405.400000000001</v>
      </c>
      <c r="X138" s="73">
        <f>V138-W138</f>
        <v>0</v>
      </c>
      <c r="Y138" s="75">
        <v>16586.900000000001</v>
      </c>
      <c r="Z138" s="74">
        <v>16586.900000000001</v>
      </c>
      <c r="AA138" s="73">
        <f>Y138-Z138</f>
        <v>0</v>
      </c>
      <c r="AB138" s="71">
        <v>1818.5</v>
      </c>
      <c r="AC138" s="72">
        <v>1818.5</v>
      </c>
      <c r="AD138" s="73">
        <f>AB138-AC138</f>
        <v>0</v>
      </c>
      <c r="AE138" s="71"/>
      <c r="AF138" s="72"/>
      <c r="AG138" s="73">
        <f>AE138-AF138</f>
        <v>0</v>
      </c>
      <c r="AH138" s="75">
        <v>0</v>
      </c>
      <c r="AI138" s="74">
        <v>0</v>
      </c>
      <c r="AJ138" s="73">
        <f>AH138-AI138</f>
        <v>0</v>
      </c>
      <c r="AL138" s="79"/>
      <c r="AM138" s="79"/>
    </row>
    <row r="139" spans="1:39" ht="22.5" customHeight="1">
      <c r="A139" s="68">
        <v>123</v>
      </c>
      <c r="B139" s="69" t="s">
        <v>135</v>
      </c>
      <c r="C139" s="70">
        <v>5699.2</v>
      </c>
      <c r="D139" s="71">
        <f t="shared" si="48"/>
        <v>19350.899999999998</v>
      </c>
      <c r="E139" s="72">
        <f t="shared" si="49"/>
        <v>19350.899999999998</v>
      </c>
      <c r="F139" s="73">
        <f t="shared" ref="F139:F172" si="52">D139-E139</f>
        <v>0</v>
      </c>
      <c r="G139" s="74"/>
      <c r="H139" s="72"/>
      <c r="I139" s="73">
        <f t="shared" ref="I139:I172" si="53">G139-H139</f>
        <v>0</v>
      </c>
      <c r="J139" s="75">
        <v>0</v>
      </c>
      <c r="K139" s="74">
        <v>0</v>
      </c>
      <c r="L139" s="76">
        <f t="shared" ref="L139:L172" si="54">J139-K139</f>
        <v>0</v>
      </c>
      <c r="M139" s="74">
        <v>0</v>
      </c>
      <c r="N139" s="77">
        <v>0</v>
      </c>
      <c r="O139" s="73">
        <f t="shared" ref="O139:O172" si="55">M139-N139</f>
        <v>0</v>
      </c>
      <c r="P139" s="78">
        <v>19305.599999999999</v>
      </c>
      <c r="Q139" s="72">
        <f t="shared" si="51"/>
        <v>19305.599999999999</v>
      </c>
      <c r="R139" s="76">
        <f t="shared" ref="R139:R172" si="56">P139-Q139</f>
        <v>0</v>
      </c>
      <c r="S139" s="75">
        <f>45.2+0.1</f>
        <v>45.300000000000004</v>
      </c>
      <c r="T139" s="74">
        <f>45.2+0.1</f>
        <v>45.300000000000004</v>
      </c>
      <c r="U139" s="73">
        <f t="shared" ref="U139:U172" si="57">S139-T139</f>
        <v>0</v>
      </c>
      <c r="V139" s="71">
        <f t="shared" ref="V139:W163" si="58">Y139+AB139+AE139+AH139</f>
        <v>24038.799999999999</v>
      </c>
      <c r="W139" s="72">
        <f t="shared" si="58"/>
        <v>24038.799999999999</v>
      </c>
      <c r="X139" s="73">
        <f t="shared" ref="X139:X172" si="59">V139-W139</f>
        <v>0</v>
      </c>
      <c r="Y139" s="75">
        <v>21136.2</v>
      </c>
      <c r="Z139" s="74">
        <v>21136.2</v>
      </c>
      <c r="AA139" s="73">
        <f t="shared" ref="AA139:AA172" si="60">Y139-Z139</f>
        <v>0</v>
      </c>
      <c r="AB139" s="71">
        <v>2878.0999999999985</v>
      </c>
      <c r="AC139" s="72">
        <v>2878.0999999999985</v>
      </c>
      <c r="AD139" s="73">
        <f t="shared" ref="AD139:AD172" si="61">AB139-AC139</f>
        <v>0</v>
      </c>
      <c r="AE139" s="71"/>
      <c r="AF139" s="72"/>
      <c r="AG139" s="73">
        <f t="shared" ref="AG139:AG172" si="62">AE139-AF139</f>
        <v>0</v>
      </c>
      <c r="AH139" s="75">
        <v>24.5</v>
      </c>
      <c r="AI139" s="74">
        <v>24.5</v>
      </c>
      <c r="AJ139" s="73">
        <f t="shared" ref="AJ139:AJ172" si="63">AH139-AI139</f>
        <v>0</v>
      </c>
      <c r="AL139" s="79"/>
      <c r="AM139" s="79"/>
    </row>
    <row r="140" spans="1:39" ht="22.5" customHeight="1">
      <c r="A140" s="68">
        <v>124</v>
      </c>
      <c r="B140" s="80" t="s">
        <v>136</v>
      </c>
      <c r="C140" s="70">
        <v>6852</v>
      </c>
      <c r="D140" s="71">
        <f t="shared" si="48"/>
        <v>15769.2</v>
      </c>
      <c r="E140" s="72">
        <f t="shared" si="49"/>
        <v>15769.2</v>
      </c>
      <c r="F140" s="73">
        <f t="shared" si="52"/>
        <v>0</v>
      </c>
      <c r="G140" s="74"/>
      <c r="H140" s="72"/>
      <c r="I140" s="73">
        <f t="shared" si="53"/>
        <v>0</v>
      </c>
      <c r="J140" s="75">
        <v>0</v>
      </c>
      <c r="K140" s="74">
        <v>0</v>
      </c>
      <c r="L140" s="76">
        <f t="shared" si="54"/>
        <v>0</v>
      </c>
      <c r="M140" s="74">
        <v>0</v>
      </c>
      <c r="N140" s="77">
        <v>0</v>
      </c>
      <c r="O140" s="73">
        <f t="shared" si="55"/>
        <v>0</v>
      </c>
      <c r="P140" s="78">
        <v>12243.6</v>
      </c>
      <c r="Q140" s="72">
        <f t="shared" si="51"/>
        <v>12243.6</v>
      </c>
      <c r="R140" s="76">
        <f t="shared" si="56"/>
        <v>0</v>
      </c>
      <c r="S140" s="75">
        <f>25.4+2250+1250+0.2</f>
        <v>3525.6</v>
      </c>
      <c r="T140" s="74">
        <f>25.4+2250+1250+0.2</f>
        <v>3525.6</v>
      </c>
      <c r="U140" s="73">
        <f t="shared" si="57"/>
        <v>0</v>
      </c>
      <c r="V140" s="71">
        <f t="shared" si="58"/>
        <v>19859.8</v>
      </c>
      <c r="W140" s="72">
        <f>Z140+AC140+AF140+AI140</f>
        <v>19859.8</v>
      </c>
      <c r="X140" s="73">
        <f t="shared" si="59"/>
        <v>0</v>
      </c>
      <c r="Y140" s="75">
        <v>14050.2</v>
      </c>
      <c r="Z140" s="74">
        <v>14050.2</v>
      </c>
      <c r="AA140" s="73">
        <f t="shared" si="60"/>
        <v>0</v>
      </c>
      <c r="AB140" s="71">
        <v>5805.5999999999985</v>
      </c>
      <c r="AC140" s="72">
        <v>5805.5999999999985</v>
      </c>
      <c r="AD140" s="73">
        <f t="shared" si="61"/>
        <v>0</v>
      </c>
      <c r="AE140" s="71"/>
      <c r="AF140" s="72"/>
      <c r="AG140" s="73">
        <f t="shared" si="62"/>
        <v>0</v>
      </c>
      <c r="AH140" s="75">
        <v>4</v>
      </c>
      <c r="AI140" s="74">
        <v>4</v>
      </c>
      <c r="AJ140" s="73">
        <f t="shared" si="63"/>
        <v>0</v>
      </c>
      <c r="AL140" s="79"/>
      <c r="AM140" s="79"/>
    </row>
    <row r="141" spans="1:39" ht="22.5" customHeight="1">
      <c r="A141" s="68">
        <v>125</v>
      </c>
      <c r="B141" s="80" t="s">
        <v>137</v>
      </c>
      <c r="C141" s="70">
        <v>17480.3</v>
      </c>
      <c r="D141" s="71">
        <f t="shared" si="48"/>
        <v>22308.6</v>
      </c>
      <c r="E141" s="72">
        <f t="shared" si="49"/>
        <v>22308.6</v>
      </c>
      <c r="F141" s="73">
        <f t="shared" si="52"/>
        <v>0</v>
      </c>
      <c r="G141" s="74"/>
      <c r="H141" s="72"/>
      <c r="I141" s="73">
        <f t="shared" si="53"/>
        <v>0</v>
      </c>
      <c r="J141" s="75">
        <v>0</v>
      </c>
      <c r="K141" s="74">
        <v>0</v>
      </c>
      <c r="L141" s="76">
        <f t="shared" si="54"/>
        <v>0</v>
      </c>
      <c r="M141" s="74">
        <v>0</v>
      </c>
      <c r="N141" s="77">
        <v>0</v>
      </c>
      <c r="O141" s="73">
        <f t="shared" si="55"/>
        <v>0</v>
      </c>
      <c r="P141" s="78">
        <v>22210</v>
      </c>
      <c r="Q141" s="72">
        <f t="shared" si="51"/>
        <v>22210</v>
      </c>
      <c r="R141" s="76">
        <f t="shared" si="56"/>
        <v>0</v>
      </c>
      <c r="S141" s="75">
        <f>76.3+22.3</f>
        <v>98.6</v>
      </c>
      <c r="T141" s="74">
        <f>76.3+22.3</f>
        <v>98.6</v>
      </c>
      <c r="U141" s="73">
        <f t="shared" si="57"/>
        <v>0</v>
      </c>
      <c r="V141" s="71">
        <f t="shared" si="58"/>
        <v>20804.8</v>
      </c>
      <c r="W141" s="72">
        <f t="shared" si="58"/>
        <v>20804.8</v>
      </c>
      <c r="X141" s="73">
        <f t="shared" si="59"/>
        <v>0</v>
      </c>
      <c r="Y141" s="75">
        <v>16401</v>
      </c>
      <c r="Z141" s="74">
        <v>16401</v>
      </c>
      <c r="AA141" s="73">
        <f t="shared" si="60"/>
        <v>0</v>
      </c>
      <c r="AB141" s="71">
        <v>4186.2999999999993</v>
      </c>
      <c r="AC141" s="72">
        <v>4186.2999999999993</v>
      </c>
      <c r="AD141" s="73">
        <f t="shared" si="61"/>
        <v>0</v>
      </c>
      <c r="AE141" s="71"/>
      <c r="AF141" s="72"/>
      <c r="AG141" s="73">
        <f t="shared" si="62"/>
        <v>0</v>
      </c>
      <c r="AH141" s="75">
        <v>217.5</v>
      </c>
      <c r="AI141" s="74">
        <v>217.5</v>
      </c>
      <c r="AJ141" s="73">
        <f t="shared" si="63"/>
        <v>0</v>
      </c>
      <c r="AL141" s="79"/>
      <c r="AM141" s="79"/>
    </row>
    <row r="142" spans="1:39" ht="22.5" customHeight="1">
      <c r="A142" s="68">
        <v>126</v>
      </c>
      <c r="B142" s="80" t="s">
        <v>138</v>
      </c>
      <c r="C142" s="70">
        <v>2867.4</v>
      </c>
      <c r="D142" s="71">
        <f t="shared" si="48"/>
        <v>9401</v>
      </c>
      <c r="E142" s="72">
        <f t="shared" si="49"/>
        <v>9401</v>
      </c>
      <c r="F142" s="73">
        <f t="shared" si="52"/>
        <v>0</v>
      </c>
      <c r="G142" s="74"/>
      <c r="H142" s="72"/>
      <c r="I142" s="73">
        <f t="shared" si="53"/>
        <v>0</v>
      </c>
      <c r="J142" s="75">
        <v>0</v>
      </c>
      <c r="K142" s="74">
        <v>0</v>
      </c>
      <c r="L142" s="76">
        <f t="shared" si="54"/>
        <v>0</v>
      </c>
      <c r="M142" s="74">
        <v>0</v>
      </c>
      <c r="N142" s="77">
        <v>0</v>
      </c>
      <c r="O142" s="73">
        <f t="shared" si="55"/>
        <v>0</v>
      </c>
      <c r="P142" s="78">
        <v>9305.9</v>
      </c>
      <c r="Q142" s="72">
        <f t="shared" si="51"/>
        <v>9305.9</v>
      </c>
      <c r="R142" s="76">
        <f t="shared" si="56"/>
        <v>0</v>
      </c>
      <c r="S142" s="75">
        <f>52+43+0.1</f>
        <v>95.1</v>
      </c>
      <c r="T142" s="74">
        <f>52+43+0.1</f>
        <v>95.1</v>
      </c>
      <c r="U142" s="73">
        <f t="shared" si="57"/>
        <v>0</v>
      </c>
      <c r="V142" s="71">
        <f t="shared" si="58"/>
        <v>12091.2</v>
      </c>
      <c r="W142" s="72">
        <f t="shared" si="58"/>
        <v>12091.2</v>
      </c>
      <c r="X142" s="73">
        <f t="shared" si="59"/>
        <v>0</v>
      </c>
      <c r="Y142" s="75">
        <v>10200.799999999999</v>
      </c>
      <c r="Z142" s="74">
        <v>10200.799999999999</v>
      </c>
      <c r="AA142" s="73">
        <f t="shared" si="60"/>
        <v>0</v>
      </c>
      <c r="AB142" s="71">
        <v>1890.4000000000015</v>
      </c>
      <c r="AC142" s="72">
        <v>1890.4000000000015</v>
      </c>
      <c r="AD142" s="73">
        <f t="shared" si="61"/>
        <v>0</v>
      </c>
      <c r="AE142" s="71"/>
      <c r="AF142" s="72"/>
      <c r="AG142" s="73">
        <f t="shared" si="62"/>
        <v>0</v>
      </c>
      <c r="AH142" s="75">
        <v>0</v>
      </c>
      <c r="AI142" s="74">
        <v>0</v>
      </c>
      <c r="AJ142" s="73">
        <f t="shared" si="63"/>
        <v>0</v>
      </c>
      <c r="AL142" s="79"/>
      <c r="AM142" s="79"/>
    </row>
    <row r="143" spans="1:39" ht="22.5" customHeight="1">
      <c r="A143" s="68">
        <v>127</v>
      </c>
      <c r="B143" s="80" t="s">
        <v>139</v>
      </c>
      <c r="C143" s="70">
        <v>12963.9</v>
      </c>
      <c r="D143" s="71">
        <f t="shared" si="48"/>
        <v>13498</v>
      </c>
      <c r="E143" s="72">
        <f t="shared" si="49"/>
        <v>13498</v>
      </c>
      <c r="F143" s="73">
        <f t="shared" si="52"/>
        <v>0</v>
      </c>
      <c r="G143" s="74"/>
      <c r="H143" s="72"/>
      <c r="I143" s="73">
        <f t="shared" si="53"/>
        <v>0</v>
      </c>
      <c r="J143" s="75">
        <v>0</v>
      </c>
      <c r="K143" s="74">
        <v>0</v>
      </c>
      <c r="L143" s="76">
        <f t="shared" si="54"/>
        <v>0</v>
      </c>
      <c r="M143" s="74">
        <v>0</v>
      </c>
      <c r="N143" s="77">
        <v>0</v>
      </c>
      <c r="O143" s="73">
        <f t="shared" si="55"/>
        <v>0</v>
      </c>
      <c r="P143" s="78">
        <v>11175.6</v>
      </c>
      <c r="Q143" s="72">
        <f t="shared" si="51"/>
        <v>11175.6</v>
      </c>
      <c r="R143" s="76">
        <f t="shared" si="56"/>
        <v>0</v>
      </c>
      <c r="S143" s="75">
        <f>1320.4+102.9+898.8+0.3</f>
        <v>2322.4000000000005</v>
      </c>
      <c r="T143" s="74">
        <f>1320.4+102.9+898.8+0.3</f>
        <v>2322.4000000000005</v>
      </c>
      <c r="U143" s="73">
        <f t="shared" si="57"/>
        <v>0</v>
      </c>
      <c r="V143" s="71">
        <f t="shared" si="58"/>
        <v>16915.5</v>
      </c>
      <c r="W143" s="72">
        <f t="shared" si="58"/>
        <v>16915.5</v>
      </c>
      <c r="X143" s="73">
        <f t="shared" si="59"/>
        <v>0</v>
      </c>
      <c r="Y143" s="75">
        <v>13068.7</v>
      </c>
      <c r="Z143" s="74">
        <v>13068.7</v>
      </c>
      <c r="AA143" s="73">
        <f t="shared" si="60"/>
        <v>0</v>
      </c>
      <c r="AB143" s="71">
        <v>3634.2999999999993</v>
      </c>
      <c r="AC143" s="72">
        <v>3634.2999999999993</v>
      </c>
      <c r="AD143" s="73">
        <f t="shared" si="61"/>
        <v>0</v>
      </c>
      <c r="AE143" s="71"/>
      <c r="AF143" s="72"/>
      <c r="AG143" s="73">
        <f t="shared" si="62"/>
        <v>0</v>
      </c>
      <c r="AH143" s="75">
        <v>212.5</v>
      </c>
      <c r="AI143" s="74">
        <v>212.5</v>
      </c>
      <c r="AJ143" s="73">
        <f t="shared" si="63"/>
        <v>0</v>
      </c>
      <c r="AL143" s="79"/>
      <c r="AM143" s="79"/>
    </row>
    <row r="144" spans="1:39" ht="22.5" customHeight="1">
      <c r="A144" s="68">
        <v>128</v>
      </c>
      <c r="B144" s="80" t="s">
        <v>140</v>
      </c>
      <c r="C144" s="70">
        <v>5847.5</v>
      </c>
      <c r="D144" s="71">
        <f t="shared" si="48"/>
        <v>24453.4</v>
      </c>
      <c r="E144" s="72">
        <f t="shared" si="49"/>
        <v>24453.4</v>
      </c>
      <c r="F144" s="73">
        <f t="shared" si="52"/>
        <v>0</v>
      </c>
      <c r="G144" s="74"/>
      <c r="H144" s="72"/>
      <c r="I144" s="73">
        <f t="shared" si="53"/>
        <v>0</v>
      </c>
      <c r="J144" s="75">
        <v>0</v>
      </c>
      <c r="K144" s="74">
        <v>0</v>
      </c>
      <c r="L144" s="76">
        <f t="shared" si="54"/>
        <v>0</v>
      </c>
      <c r="M144" s="74">
        <v>0</v>
      </c>
      <c r="N144" s="77">
        <v>0</v>
      </c>
      <c r="O144" s="73">
        <f t="shared" si="55"/>
        <v>0</v>
      </c>
      <c r="P144" s="78">
        <v>22607.7</v>
      </c>
      <c r="Q144" s="72">
        <f t="shared" si="51"/>
        <v>22607.7</v>
      </c>
      <c r="R144" s="76">
        <f t="shared" si="56"/>
        <v>0</v>
      </c>
      <c r="S144" s="75">
        <f>690.5+0.2+1154.8+0.2</f>
        <v>1845.7</v>
      </c>
      <c r="T144" s="74">
        <f>690.5+0.2+1154.8+0.2</f>
        <v>1845.7</v>
      </c>
      <c r="U144" s="73">
        <f t="shared" si="57"/>
        <v>0</v>
      </c>
      <c r="V144" s="71">
        <f t="shared" si="58"/>
        <v>20544.7</v>
      </c>
      <c r="W144" s="72">
        <f t="shared" si="58"/>
        <v>20544.7</v>
      </c>
      <c r="X144" s="73">
        <f t="shared" si="59"/>
        <v>0</v>
      </c>
      <c r="Y144" s="75">
        <v>16125.5</v>
      </c>
      <c r="Z144" s="74">
        <v>16125.5</v>
      </c>
      <c r="AA144" s="73">
        <f t="shared" si="60"/>
        <v>0</v>
      </c>
      <c r="AB144" s="71">
        <v>3589.2000000000007</v>
      </c>
      <c r="AC144" s="72">
        <v>3589.2000000000007</v>
      </c>
      <c r="AD144" s="73">
        <f t="shared" si="61"/>
        <v>0</v>
      </c>
      <c r="AE144" s="71"/>
      <c r="AF144" s="72"/>
      <c r="AG144" s="73">
        <f t="shared" si="62"/>
        <v>0</v>
      </c>
      <c r="AH144" s="75">
        <v>830</v>
      </c>
      <c r="AI144" s="74">
        <v>830</v>
      </c>
      <c r="AJ144" s="73">
        <f t="shared" si="63"/>
        <v>0</v>
      </c>
      <c r="AL144" s="79"/>
      <c r="AM144" s="79"/>
    </row>
    <row r="145" spans="1:39" ht="22.5" customHeight="1">
      <c r="A145" s="68">
        <v>129</v>
      </c>
      <c r="B145" s="80" t="s">
        <v>141</v>
      </c>
      <c r="C145" s="70">
        <v>2427.6</v>
      </c>
      <c r="D145" s="71">
        <f t="shared" si="48"/>
        <v>9035.4</v>
      </c>
      <c r="E145" s="72">
        <f t="shared" si="49"/>
        <v>9035.4</v>
      </c>
      <c r="F145" s="73">
        <f t="shared" si="52"/>
        <v>0</v>
      </c>
      <c r="G145" s="74"/>
      <c r="H145" s="72"/>
      <c r="I145" s="73">
        <f t="shared" si="53"/>
        <v>0</v>
      </c>
      <c r="J145" s="75">
        <v>0</v>
      </c>
      <c r="K145" s="74">
        <v>0</v>
      </c>
      <c r="L145" s="76">
        <f t="shared" si="54"/>
        <v>0</v>
      </c>
      <c r="M145" s="74">
        <v>0</v>
      </c>
      <c r="N145" s="77">
        <v>0</v>
      </c>
      <c r="O145" s="73">
        <f t="shared" si="55"/>
        <v>0</v>
      </c>
      <c r="P145" s="78">
        <v>9013.7999999999993</v>
      </c>
      <c r="Q145" s="72">
        <f t="shared" si="51"/>
        <v>9013.7999999999993</v>
      </c>
      <c r="R145" s="76">
        <f t="shared" si="56"/>
        <v>0</v>
      </c>
      <c r="S145" s="75">
        <f>21.5+0.1</f>
        <v>21.6</v>
      </c>
      <c r="T145" s="74">
        <f>21.5+0.1</f>
        <v>21.6</v>
      </c>
      <c r="U145" s="73">
        <f t="shared" si="57"/>
        <v>0</v>
      </c>
      <c r="V145" s="71">
        <f t="shared" si="58"/>
        <v>9400.6</v>
      </c>
      <c r="W145" s="72">
        <f t="shared" si="58"/>
        <v>9400.6</v>
      </c>
      <c r="X145" s="73">
        <f t="shared" si="59"/>
        <v>0</v>
      </c>
      <c r="Y145" s="75">
        <v>7512.5</v>
      </c>
      <c r="Z145" s="74">
        <v>7512.5</v>
      </c>
      <c r="AA145" s="73">
        <f t="shared" si="60"/>
        <v>0</v>
      </c>
      <c r="AB145" s="71">
        <v>1888.1000000000004</v>
      </c>
      <c r="AC145" s="72">
        <v>1888.1000000000004</v>
      </c>
      <c r="AD145" s="73">
        <f t="shared" si="61"/>
        <v>0</v>
      </c>
      <c r="AE145" s="71"/>
      <c r="AF145" s="72"/>
      <c r="AG145" s="73">
        <f t="shared" si="62"/>
        <v>0</v>
      </c>
      <c r="AH145" s="75">
        <v>0</v>
      </c>
      <c r="AI145" s="74">
        <v>0</v>
      </c>
      <c r="AJ145" s="73">
        <f t="shared" si="63"/>
        <v>0</v>
      </c>
      <c r="AL145" s="79"/>
      <c r="AM145" s="79"/>
    </row>
    <row r="146" spans="1:39" ht="22.5" customHeight="1">
      <c r="A146" s="68">
        <v>130</v>
      </c>
      <c r="B146" s="80" t="s">
        <v>142</v>
      </c>
      <c r="C146" s="83">
        <v>20212.5</v>
      </c>
      <c r="D146" s="71">
        <f t="shared" si="48"/>
        <v>20059.399999999998</v>
      </c>
      <c r="E146" s="72">
        <f t="shared" si="49"/>
        <v>20059.399999999998</v>
      </c>
      <c r="F146" s="73">
        <f t="shared" si="52"/>
        <v>0</v>
      </c>
      <c r="G146" s="84"/>
      <c r="H146" s="72"/>
      <c r="I146" s="73">
        <f t="shared" si="53"/>
        <v>0</v>
      </c>
      <c r="J146" s="85">
        <v>0</v>
      </c>
      <c r="K146" s="84">
        <v>0</v>
      </c>
      <c r="L146" s="76">
        <f t="shared" si="54"/>
        <v>0</v>
      </c>
      <c r="M146" s="84">
        <v>0</v>
      </c>
      <c r="N146" s="86">
        <v>0</v>
      </c>
      <c r="O146" s="73">
        <f t="shared" si="55"/>
        <v>0</v>
      </c>
      <c r="P146" s="87">
        <v>19981.8</v>
      </c>
      <c r="Q146" s="72">
        <f t="shared" si="51"/>
        <v>19981.8</v>
      </c>
      <c r="R146" s="76">
        <f t="shared" si="56"/>
        <v>0</v>
      </c>
      <c r="S146" s="85">
        <f>45.9+31.7</f>
        <v>77.599999999999994</v>
      </c>
      <c r="T146" s="84">
        <f>45.9+31.7</f>
        <v>77.599999999999994</v>
      </c>
      <c r="U146" s="73">
        <f>S146-T146</f>
        <v>0</v>
      </c>
      <c r="V146" s="71">
        <f t="shared" si="58"/>
        <v>20089.400000000001</v>
      </c>
      <c r="W146" s="72">
        <f t="shared" si="58"/>
        <v>20089.400000000001</v>
      </c>
      <c r="X146" s="73">
        <f t="shared" si="59"/>
        <v>0</v>
      </c>
      <c r="Y146" s="85">
        <v>16398.599999999999</v>
      </c>
      <c r="Z146" s="84">
        <v>16398.599999999999</v>
      </c>
      <c r="AA146" s="73">
        <f t="shared" si="60"/>
        <v>0</v>
      </c>
      <c r="AB146" s="71">
        <v>3685.5000000000036</v>
      </c>
      <c r="AC146" s="72">
        <v>3685.5000000000036</v>
      </c>
      <c r="AD146" s="73">
        <f t="shared" si="61"/>
        <v>0</v>
      </c>
      <c r="AE146" s="71"/>
      <c r="AF146" s="72"/>
      <c r="AG146" s="73">
        <f t="shared" si="62"/>
        <v>0</v>
      </c>
      <c r="AH146" s="85">
        <v>5.3</v>
      </c>
      <c r="AI146" s="84">
        <v>5.3</v>
      </c>
      <c r="AJ146" s="73">
        <f t="shared" si="63"/>
        <v>0</v>
      </c>
      <c r="AL146" s="79"/>
      <c r="AM146" s="79"/>
    </row>
    <row r="147" spans="1:39" ht="22.5" customHeight="1">
      <c r="A147" s="68">
        <v>131</v>
      </c>
      <c r="B147" s="80" t="s">
        <v>143</v>
      </c>
      <c r="C147" s="70">
        <v>4114.8999999999996</v>
      </c>
      <c r="D147" s="71">
        <f t="shared" si="48"/>
        <v>16813.100000000002</v>
      </c>
      <c r="E147" s="72">
        <f t="shared" si="49"/>
        <v>16813.100000000002</v>
      </c>
      <c r="F147" s="73">
        <f t="shared" si="52"/>
        <v>0</v>
      </c>
      <c r="G147" s="74"/>
      <c r="H147" s="72"/>
      <c r="I147" s="73">
        <f t="shared" si="53"/>
        <v>0</v>
      </c>
      <c r="J147" s="75">
        <v>0</v>
      </c>
      <c r="K147" s="74">
        <v>0</v>
      </c>
      <c r="L147" s="76">
        <f t="shared" si="54"/>
        <v>0</v>
      </c>
      <c r="M147" s="74">
        <v>0</v>
      </c>
      <c r="N147" s="77">
        <v>0</v>
      </c>
      <c r="O147" s="73">
        <f t="shared" si="55"/>
        <v>0</v>
      </c>
      <c r="P147" s="78">
        <v>16772.900000000001</v>
      </c>
      <c r="Q147" s="72">
        <f t="shared" si="51"/>
        <v>16772.900000000001</v>
      </c>
      <c r="R147" s="76">
        <f t="shared" si="56"/>
        <v>0</v>
      </c>
      <c r="S147" s="75">
        <f>27.1+13+0.1</f>
        <v>40.200000000000003</v>
      </c>
      <c r="T147" s="74">
        <f>27.1+13+0.1</f>
        <v>40.200000000000003</v>
      </c>
      <c r="U147" s="73">
        <f t="shared" si="57"/>
        <v>0</v>
      </c>
      <c r="V147" s="71">
        <f t="shared" si="58"/>
        <v>16998.599999999999</v>
      </c>
      <c r="W147" s="72">
        <f t="shared" si="58"/>
        <v>16998.599999999999</v>
      </c>
      <c r="X147" s="73">
        <f t="shared" si="59"/>
        <v>0</v>
      </c>
      <c r="Y147" s="75">
        <v>13345.2</v>
      </c>
      <c r="Z147" s="74">
        <v>13345.2</v>
      </c>
      <c r="AA147" s="73">
        <f t="shared" si="60"/>
        <v>0</v>
      </c>
      <c r="AB147" s="71">
        <v>3623.3999999999978</v>
      </c>
      <c r="AC147" s="72">
        <v>3623.3999999999978</v>
      </c>
      <c r="AD147" s="73">
        <f t="shared" si="61"/>
        <v>0</v>
      </c>
      <c r="AE147" s="71"/>
      <c r="AF147" s="72"/>
      <c r="AG147" s="73">
        <f t="shared" si="62"/>
        <v>0</v>
      </c>
      <c r="AH147" s="75">
        <v>30</v>
      </c>
      <c r="AI147" s="74">
        <v>30</v>
      </c>
      <c r="AJ147" s="73">
        <f t="shared" si="63"/>
        <v>0</v>
      </c>
      <c r="AL147" s="79"/>
      <c r="AM147" s="79"/>
    </row>
    <row r="148" spans="1:39" ht="22.5" customHeight="1">
      <c r="A148" s="68">
        <v>132</v>
      </c>
      <c r="B148" s="80" t="s">
        <v>144</v>
      </c>
      <c r="C148" s="70">
        <v>6224.2</v>
      </c>
      <c r="D148" s="71">
        <f t="shared" si="48"/>
        <v>14323.8</v>
      </c>
      <c r="E148" s="72">
        <f t="shared" si="49"/>
        <v>14323.8</v>
      </c>
      <c r="F148" s="73">
        <f t="shared" si="52"/>
        <v>0</v>
      </c>
      <c r="G148" s="74"/>
      <c r="H148" s="72"/>
      <c r="I148" s="73">
        <f t="shared" si="53"/>
        <v>0</v>
      </c>
      <c r="J148" s="75">
        <v>0</v>
      </c>
      <c r="K148" s="74">
        <v>0</v>
      </c>
      <c r="L148" s="76">
        <f t="shared" si="54"/>
        <v>0</v>
      </c>
      <c r="M148" s="74">
        <v>0</v>
      </c>
      <c r="N148" s="77">
        <v>0</v>
      </c>
      <c r="O148" s="73">
        <f t="shared" si="55"/>
        <v>0</v>
      </c>
      <c r="P148" s="78">
        <v>14229.3</v>
      </c>
      <c r="Q148" s="72">
        <f t="shared" si="51"/>
        <v>14229.3</v>
      </c>
      <c r="R148" s="76">
        <f t="shared" si="56"/>
        <v>0</v>
      </c>
      <c r="S148" s="75">
        <f>73.1+6+15.3+0.1</f>
        <v>94.499999999999986</v>
      </c>
      <c r="T148" s="74">
        <f>73.1+6+15.3+0.1</f>
        <v>94.499999999999986</v>
      </c>
      <c r="U148" s="73">
        <f t="shared" si="57"/>
        <v>0</v>
      </c>
      <c r="V148" s="71">
        <f t="shared" si="58"/>
        <v>15431.4</v>
      </c>
      <c r="W148" s="72">
        <f t="shared" si="58"/>
        <v>15431.4</v>
      </c>
      <c r="X148" s="73">
        <f t="shared" si="59"/>
        <v>0</v>
      </c>
      <c r="Y148" s="75">
        <v>11489.1</v>
      </c>
      <c r="Z148" s="74">
        <v>11489.1</v>
      </c>
      <c r="AA148" s="73">
        <f t="shared" si="60"/>
        <v>0</v>
      </c>
      <c r="AB148" s="71">
        <v>3942.2999999999993</v>
      </c>
      <c r="AC148" s="72">
        <v>3942.2999999999993</v>
      </c>
      <c r="AD148" s="73">
        <f t="shared" si="61"/>
        <v>0</v>
      </c>
      <c r="AE148" s="71"/>
      <c r="AF148" s="72"/>
      <c r="AG148" s="73">
        <f t="shared" si="62"/>
        <v>0</v>
      </c>
      <c r="AH148" s="75">
        <v>0</v>
      </c>
      <c r="AI148" s="74">
        <v>0</v>
      </c>
      <c r="AJ148" s="73">
        <f t="shared" si="63"/>
        <v>0</v>
      </c>
      <c r="AL148" s="79"/>
      <c r="AM148" s="79"/>
    </row>
    <row r="149" spans="1:39" ht="22.5" customHeight="1">
      <c r="A149" s="68">
        <v>133</v>
      </c>
      <c r="B149" s="80" t="s">
        <v>145</v>
      </c>
      <c r="C149" s="70">
        <v>1087.5999999999999</v>
      </c>
      <c r="D149" s="71">
        <f t="shared" ref="D149:D175" si="64">+G149+J149+M149+P149+S149</f>
        <v>12522.2</v>
      </c>
      <c r="E149" s="72">
        <f t="shared" ref="E149:E175" si="65">+H149+K149+N149+Q149+T149</f>
        <v>12522.2</v>
      </c>
      <c r="F149" s="73">
        <f t="shared" si="52"/>
        <v>0</v>
      </c>
      <c r="G149" s="74"/>
      <c r="H149" s="72"/>
      <c r="I149" s="73">
        <f t="shared" si="53"/>
        <v>0</v>
      </c>
      <c r="J149" s="75">
        <v>0</v>
      </c>
      <c r="K149" s="74">
        <v>0</v>
      </c>
      <c r="L149" s="76">
        <f t="shared" si="54"/>
        <v>0</v>
      </c>
      <c r="M149" s="74">
        <v>0</v>
      </c>
      <c r="N149" s="77">
        <v>0</v>
      </c>
      <c r="O149" s="73">
        <f t="shared" si="55"/>
        <v>0</v>
      </c>
      <c r="P149" s="78">
        <v>12458.2</v>
      </c>
      <c r="Q149" s="72">
        <f t="shared" si="51"/>
        <v>12458.2</v>
      </c>
      <c r="R149" s="76">
        <f t="shared" si="56"/>
        <v>0</v>
      </c>
      <c r="S149" s="75">
        <f>4.2+41.3+18.4+0.1</f>
        <v>64</v>
      </c>
      <c r="T149" s="74">
        <f>4.2+41.3+18.4+0.1</f>
        <v>64</v>
      </c>
      <c r="U149" s="73">
        <f t="shared" si="57"/>
        <v>0</v>
      </c>
      <c r="V149" s="71">
        <f t="shared" si="58"/>
        <v>10961.8</v>
      </c>
      <c r="W149" s="72">
        <f t="shared" si="58"/>
        <v>10961.8</v>
      </c>
      <c r="X149" s="73">
        <f t="shared" si="59"/>
        <v>0</v>
      </c>
      <c r="Y149" s="75">
        <v>9395.6</v>
      </c>
      <c r="Z149" s="74">
        <v>9395.6</v>
      </c>
      <c r="AA149" s="73">
        <f t="shared" si="60"/>
        <v>0</v>
      </c>
      <c r="AB149" s="71">
        <v>1565.8999999999996</v>
      </c>
      <c r="AC149" s="72">
        <v>1565.8999999999996</v>
      </c>
      <c r="AD149" s="73">
        <f t="shared" si="61"/>
        <v>0</v>
      </c>
      <c r="AE149" s="71"/>
      <c r="AF149" s="72"/>
      <c r="AG149" s="73">
        <f t="shared" si="62"/>
        <v>0</v>
      </c>
      <c r="AH149" s="75">
        <v>0.3</v>
      </c>
      <c r="AI149" s="74">
        <v>0.3</v>
      </c>
      <c r="AJ149" s="73">
        <f t="shared" si="63"/>
        <v>0</v>
      </c>
      <c r="AL149" s="79"/>
      <c r="AM149" s="79"/>
    </row>
    <row r="150" spans="1:39" ht="22.5" customHeight="1">
      <c r="A150" s="68">
        <v>134</v>
      </c>
      <c r="B150" s="80" t="s">
        <v>146</v>
      </c>
      <c r="C150" s="70">
        <v>3603.4</v>
      </c>
      <c r="D150" s="71">
        <f t="shared" si="64"/>
        <v>12141.9</v>
      </c>
      <c r="E150" s="72">
        <f t="shared" si="65"/>
        <v>12141.9</v>
      </c>
      <c r="F150" s="73">
        <f t="shared" si="52"/>
        <v>0</v>
      </c>
      <c r="G150" s="74"/>
      <c r="H150" s="72"/>
      <c r="I150" s="73">
        <f t="shared" si="53"/>
        <v>0</v>
      </c>
      <c r="J150" s="75">
        <v>0</v>
      </c>
      <c r="K150" s="74">
        <v>0</v>
      </c>
      <c r="L150" s="76">
        <f t="shared" si="54"/>
        <v>0</v>
      </c>
      <c r="M150" s="74">
        <v>0</v>
      </c>
      <c r="N150" s="77">
        <v>0</v>
      </c>
      <c r="O150" s="73">
        <f t="shared" si="55"/>
        <v>0</v>
      </c>
      <c r="P150" s="78">
        <v>12124.4</v>
      </c>
      <c r="Q150" s="72">
        <f t="shared" si="51"/>
        <v>12124.4</v>
      </c>
      <c r="R150" s="76">
        <f t="shared" si="56"/>
        <v>0</v>
      </c>
      <c r="S150" s="75">
        <v>17.5</v>
      </c>
      <c r="T150" s="74">
        <v>17.5</v>
      </c>
      <c r="U150" s="73">
        <f t="shared" si="57"/>
        <v>0</v>
      </c>
      <c r="V150" s="71">
        <f t="shared" si="58"/>
        <v>12808.3</v>
      </c>
      <c r="W150" s="72">
        <f t="shared" si="58"/>
        <v>12808.3</v>
      </c>
      <c r="X150" s="73">
        <f t="shared" si="59"/>
        <v>0</v>
      </c>
      <c r="Y150" s="75">
        <v>9429.7000000000007</v>
      </c>
      <c r="Z150" s="74">
        <v>9429.7000000000007</v>
      </c>
      <c r="AA150" s="73">
        <f t="shared" si="60"/>
        <v>0</v>
      </c>
      <c r="AB150" s="71">
        <v>3178.5999999999985</v>
      </c>
      <c r="AC150" s="72">
        <v>3178.5999999999985</v>
      </c>
      <c r="AD150" s="73">
        <f t="shared" si="61"/>
        <v>0</v>
      </c>
      <c r="AE150" s="71"/>
      <c r="AF150" s="72"/>
      <c r="AG150" s="73">
        <f t="shared" si="62"/>
        <v>0</v>
      </c>
      <c r="AH150" s="75">
        <v>200</v>
      </c>
      <c r="AI150" s="74">
        <v>200</v>
      </c>
      <c r="AJ150" s="73">
        <f t="shared" si="63"/>
        <v>0</v>
      </c>
      <c r="AL150" s="79"/>
      <c r="AM150" s="79"/>
    </row>
    <row r="151" spans="1:39" ht="22.5" customHeight="1">
      <c r="A151" s="68">
        <v>135</v>
      </c>
      <c r="B151" s="80" t="s">
        <v>147</v>
      </c>
      <c r="C151" s="70">
        <v>5720.7</v>
      </c>
      <c r="D151" s="71">
        <f t="shared" si="64"/>
        <v>17399.3</v>
      </c>
      <c r="E151" s="72">
        <f t="shared" si="65"/>
        <v>17399.3</v>
      </c>
      <c r="F151" s="73">
        <f t="shared" si="52"/>
        <v>0</v>
      </c>
      <c r="G151" s="74"/>
      <c r="H151" s="72"/>
      <c r="I151" s="73">
        <f t="shared" si="53"/>
        <v>0</v>
      </c>
      <c r="J151" s="75">
        <v>0</v>
      </c>
      <c r="K151" s="74">
        <v>0</v>
      </c>
      <c r="L151" s="76">
        <f t="shared" si="54"/>
        <v>0</v>
      </c>
      <c r="M151" s="74">
        <v>0</v>
      </c>
      <c r="N151" s="77">
        <v>0</v>
      </c>
      <c r="O151" s="73">
        <f t="shared" si="55"/>
        <v>0</v>
      </c>
      <c r="P151" s="78">
        <v>17396.3</v>
      </c>
      <c r="Q151" s="72">
        <f t="shared" si="51"/>
        <v>17396.3</v>
      </c>
      <c r="R151" s="76">
        <f t="shared" si="56"/>
        <v>0</v>
      </c>
      <c r="S151" s="75">
        <f>0+3</f>
        <v>3</v>
      </c>
      <c r="T151" s="74">
        <f>0+3</f>
        <v>3</v>
      </c>
      <c r="U151" s="73">
        <f t="shared" si="57"/>
        <v>0</v>
      </c>
      <c r="V151" s="71">
        <f t="shared" si="58"/>
        <v>22307.9</v>
      </c>
      <c r="W151" s="72">
        <f t="shared" si="58"/>
        <v>22307.9</v>
      </c>
      <c r="X151" s="73">
        <f t="shared" si="59"/>
        <v>0</v>
      </c>
      <c r="Y151" s="75">
        <v>16687.099999999999</v>
      </c>
      <c r="Z151" s="74">
        <v>16687.099999999999</v>
      </c>
      <c r="AA151" s="73">
        <f t="shared" si="60"/>
        <v>0</v>
      </c>
      <c r="AB151" s="71">
        <v>4687.8000000000029</v>
      </c>
      <c r="AC151" s="72">
        <v>4687.8000000000029</v>
      </c>
      <c r="AD151" s="73">
        <f t="shared" si="61"/>
        <v>0</v>
      </c>
      <c r="AE151" s="71"/>
      <c r="AF151" s="72"/>
      <c r="AG151" s="73">
        <f t="shared" si="62"/>
        <v>0</v>
      </c>
      <c r="AH151" s="75">
        <v>933</v>
      </c>
      <c r="AI151" s="74">
        <v>933</v>
      </c>
      <c r="AJ151" s="73">
        <f t="shared" si="63"/>
        <v>0</v>
      </c>
      <c r="AL151" s="79"/>
      <c r="AM151" s="79"/>
    </row>
    <row r="152" spans="1:39" ht="22.5" customHeight="1">
      <c r="A152" s="68">
        <v>136</v>
      </c>
      <c r="B152" s="80" t="s">
        <v>148</v>
      </c>
      <c r="C152" s="70">
        <v>2574</v>
      </c>
      <c r="D152" s="71">
        <f t="shared" si="64"/>
        <v>7996.6</v>
      </c>
      <c r="E152" s="72">
        <f t="shared" si="65"/>
        <v>7996.6</v>
      </c>
      <c r="F152" s="73">
        <f t="shared" si="52"/>
        <v>0</v>
      </c>
      <c r="G152" s="74"/>
      <c r="H152" s="72"/>
      <c r="I152" s="73">
        <f t="shared" si="53"/>
        <v>0</v>
      </c>
      <c r="J152" s="75">
        <v>0</v>
      </c>
      <c r="K152" s="74">
        <v>0</v>
      </c>
      <c r="L152" s="76">
        <f t="shared" si="54"/>
        <v>0</v>
      </c>
      <c r="M152" s="74">
        <v>0</v>
      </c>
      <c r="N152" s="77">
        <v>0</v>
      </c>
      <c r="O152" s="73">
        <f t="shared" si="55"/>
        <v>0</v>
      </c>
      <c r="P152" s="78">
        <v>7923.6</v>
      </c>
      <c r="Q152" s="72">
        <f t="shared" si="51"/>
        <v>7923.6</v>
      </c>
      <c r="R152" s="76">
        <f t="shared" si="56"/>
        <v>0</v>
      </c>
      <c r="S152" s="75">
        <v>73</v>
      </c>
      <c r="T152" s="74">
        <v>73</v>
      </c>
      <c r="U152" s="73">
        <f t="shared" si="57"/>
        <v>0</v>
      </c>
      <c r="V152" s="71">
        <f t="shared" si="58"/>
        <v>8187.5</v>
      </c>
      <c r="W152" s="72">
        <f t="shared" si="58"/>
        <v>8187.5</v>
      </c>
      <c r="X152" s="73">
        <f t="shared" si="59"/>
        <v>0</v>
      </c>
      <c r="Y152" s="75">
        <v>6267.5</v>
      </c>
      <c r="Z152" s="74">
        <v>6267.5</v>
      </c>
      <c r="AA152" s="73">
        <f t="shared" si="60"/>
        <v>0</v>
      </c>
      <c r="AB152" s="71">
        <v>1920</v>
      </c>
      <c r="AC152" s="72">
        <v>1920</v>
      </c>
      <c r="AD152" s="73">
        <f t="shared" si="61"/>
        <v>0</v>
      </c>
      <c r="AE152" s="71"/>
      <c r="AF152" s="72"/>
      <c r="AG152" s="73">
        <f t="shared" si="62"/>
        <v>0</v>
      </c>
      <c r="AH152" s="75">
        <v>0</v>
      </c>
      <c r="AI152" s="74">
        <v>0</v>
      </c>
      <c r="AJ152" s="73">
        <f t="shared" si="63"/>
        <v>0</v>
      </c>
      <c r="AL152" s="79"/>
      <c r="AM152" s="79"/>
    </row>
    <row r="153" spans="1:39" ht="22.5" customHeight="1">
      <c r="A153" s="68">
        <v>137</v>
      </c>
      <c r="B153" s="80" t="s">
        <v>149</v>
      </c>
      <c r="C153" s="70">
        <v>7026.8</v>
      </c>
      <c r="D153" s="71">
        <f t="shared" si="64"/>
        <v>16516.900000000001</v>
      </c>
      <c r="E153" s="72">
        <f t="shared" si="65"/>
        <v>16516.900000000001</v>
      </c>
      <c r="F153" s="73">
        <f t="shared" si="52"/>
        <v>0</v>
      </c>
      <c r="G153" s="74"/>
      <c r="H153" s="72"/>
      <c r="I153" s="73">
        <f t="shared" si="53"/>
        <v>0</v>
      </c>
      <c r="J153" s="75">
        <v>0</v>
      </c>
      <c r="K153" s="74">
        <v>0</v>
      </c>
      <c r="L153" s="76">
        <f t="shared" si="54"/>
        <v>0</v>
      </c>
      <c r="M153" s="74">
        <v>0</v>
      </c>
      <c r="N153" s="77">
        <v>0</v>
      </c>
      <c r="O153" s="73">
        <f t="shared" si="55"/>
        <v>0</v>
      </c>
      <c r="P153" s="78">
        <v>16481.400000000001</v>
      </c>
      <c r="Q153" s="72">
        <f t="shared" si="51"/>
        <v>16481.400000000001</v>
      </c>
      <c r="R153" s="76">
        <f t="shared" si="56"/>
        <v>0</v>
      </c>
      <c r="S153" s="75">
        <f>8.4+8.4+18.7</f>
        <v>35.5</v>
      </c>
      <c r="T153" s="74">
        <f>8.4+8.4+18.7</f>
        <v>35.5</v>
      </c>
      <c r="U153" s="73">
        <f t="shared" si="57"/>
        <v>0</v>
      </c>
      <c r="V153" s="71">
        <f t="shared" si="58"/>
        <v>15485.8</v>
      </c>
      <c r="W153" s="72">
        <f t="shared" si="58"/>
        <v>15485.8</v>
      </c>
      <c r="X153" s="73">
        <f t="shared" si="59"/>
        <v>0</v>
      </c>
      <c r="Y153" s="75">
        <v>13316.2</v>
      </c>
      <c r="Z153" s="74">
        <v>13316.2</v>
      </c>
      <c r="AA153" s="73">
        <f t="shared" si="60"/>
        <v>0</v>
      </c>
      <c r="AB153" s="71">
        <v>2169.5999999999985</v>
      </c>
      <c r="AC153" s="72">
        <v>2169.5999999999985</v>
      </c>
      <c r="AD153" s="73">
        <f t="shared" si="61"/>
        <v>0</v>
      </c>
      <c r="AE153" s="71"/>
      <c r="AF153" s="72"/>
      <c r="AG153" s="73">
        <f t="shared" si="62"/>
        <v>0</v>
      </c>
      <c r="AH153" s="75">
        <v>0</v>
      </c>
      <c r="AI153" s="74">
        <v>0</v>
      </c>
      <c r="AJ153" s="73">
        <f t="shared" si="63"/>
        <v>0</v>
      </c>
      <c r="AL153" s="79"/>
      <c r="AM153" s="79"/>
    </row>
    <row r="154" spans="1:39" ht="22.5" customHeight="1">
      <c r="A154" s="68">
        <v>138</v>
      </c>
      <c r="B154" s="80" t="s">
        <v>150</v>
      </c>
      <c r="C154" s="70">
        <v>13829</v>
      </c>
      <c r="D154" s="71">
        <f t="shared" si="64"/>
        <v>15080.300000000001</v>
      </c>
      <c r="E154" s="72">
        <f t="shared" si="65"/>
        <v>15080.300000000001</v>
      </c>
      <c r="F154" s="73">
        <f t="shared" si="52"/>
        <v>0</v>
      </c>
      <c r="G154" s="74"/>
      <c r="H154" s="72"/>
      <c r="I154" s="73">
        <f t="shared" si="53"/>
        <v>0</v>
      </c>
      <c r="J154" s="75">
        <v>0</v>
      </c>
      <c r="K154" s="74">
        <v>0</v>
      </c>
      <c r="L154" s="76">
        <f t="shared" si="54"/>
        <v>0</v>
      </c>
      <c r="M154" s="74">
        <v>0</v>
      </c>
      <c r="N154" s="77">
        <v>0</v>
      </c>
      <c r="O154" s="73">
        <f t="shared" si="55"/>
        <v>0</v>
      </c>
      <c r="P154" s="78">
        <v>15037.7</v>
      </c>
      <c r="Q154" s="72">
        <f t="shared" si="51"/>
        <v>15037.7</v>
      </c>
      <c r="R154" s="76">
        <f t="shared" si="56"/>
        <v>0</v>
      </c>
      <c r="S154" s="75">
        <f>42.3+0.3</f>
        <v>42.599999999999994</v>
      </c>
      <c r="T154" s="74">
        <f>42.3+0.3</f>
        <v>42.599999999999994</v>
      </c>
      <c r="U154" s="73">
        <f t="shared" si="57"/>
        <v>0</v>
      </c>
      <c r="V154" s="71">
        <f t="shared" si="58"/>
        <v>20184</v>
      </c>
      <c r="W154" s="72">
        <f t="shared" si="58"/>
        <v>20184</v>
      </c>
      <c r="X154" s="73">
        <f t="shared" si="59"/>
        <v>0</v>
      </c>
      <c r="Y154" s="75">
        <v>16676.900000000001</v>
      </c>
      <c r="Z154" s="74">
        <v>16676.900000000001</v>
      </c>
      <c r="AA154" s="73">
        <f t="shared" si="60"/>
        <v>0</v>
      </c>
      <c r="AB154" s="71">
        <v>3465.0999999999985</v>
      </c>
      <c r="AC154" s="72">
        <v>3465.0999999999985</v>
      </c>
      <c r="AD154" s="73">
        <f t="shared" si="61"/>
        <v>0</v>
      </c>
      <c r="AE154" s="71"/>
      <c r="AF154" s="72"/>
      <c r="AG154" s="73">
        <f t="shared" si="62"/>
        <v>0</v>
      </c>
      <c r="AH154" s="75">
        <v>42</v>
      </c>
      <c r="AI154" s="74">
        <v>42</v>
      </c>
      <c r="AJ154" s="73">
        <f t="shared" si="63"/>
        <v>0</v>
      </c>
      <c r="AL154" s="79"/>
      <c r="AM154" s="79"/>
    </row>
    <row r="155" spans="1:39" ht="22.5" customHeight="1">
      <c r="A155" s="68">
        <v>139</v>
      </c>
      <c r="B155" s="80" t="s">
        <v>151</v>
      </c>
      <c r="C155" s="70">
        <v>1606.5</v>
      </c>
      <c r="D155" s="71">
        <f t="shared" si="64"/>
        <v>6471.6</v>
      </c>
      <c r="E155" s="72">
        <f t="shared" si="65"/>
        <v>6471.6</v>
      </c>
      <c r="F155" s="73">
        <f t="shared" si="52"/>
        <v>0</v>
      </c>
      <c r="G155" s="74"/>
      <c r="H155" s="72"/>
      <c r="I155" s="73">
        <f t="shared" si="53"/>
        <v>0</v>
      </c>
      <c r="J155" s="75">
        <v>0</v>
      </c>
      <c r="K155" s="74">
        <v>0</v>
      </c>
      <c r="L155" s="76">
        <f t="shared" si="54"/>
        <v>0</v>
      </c>
      <c r="M155" s="74">
        <v>0</v>
      </c>
      <c r="N155" s="77">
        <v>0</v>
      </c>
      <c r="O155" s="73">
        <f t="shared" si="55"/>
        <v>0</v>
      </c>
      <c r="P155" s="78">
        <v>6471.6</v>
      </c>
      <c r="Q155" s="72">
        <f t="shared" si="51"/>
        <v>6471.6</v>
      </c>
      <c r="R155" s="76">
        <f t="shared" si="56"/>
        <v>0</v>
      </c>
      <c r="S155" s="75">
        <v>0</v>
      </c>
      <c r="T155" s="74">
        <v>0</v>
      </c>
      <c r="U155" s="73">
        <f t="shared" si="57"/>
        <v>0</v>
      </c>
      <c r="V155" s="71">
        <f t="shared" si="58"/>
        <v>6801.6</v>
      </c>
      <c r="W155" s="72">
        <f t="shared" si="58"/>
        <v>6801.6</v>
      </c>
      <c r="X155" s="73">
        <f t="shared" si="59"/>
        <v>0</v>
      </c>
      <c r="Y155" s="75">
        <v>5397.3</v>
      </c>
      <c r="Z155" s="74">
        <v>5397.3</v>
      </c>
      <c r="AA155" s="73">
        <f t="shared" si="60"/>
        <v>0</v>
      </c>
      <c r="AB155" s="71">
        <v>1106.3000000000002</v>
      </c>
      <c r="AC155" s="72">
        <v>1106.3000000000002</v>
      </c>
      <c r="AD155" s="73">
        <f t="shared" si="61"/>
        <v>0</v>
      </c>
      <c r="AE155" s="71"/>
      <c r="AF155" s="72"/>
      <c r="AG155" s="73">
        <f t="shared" si="62"/>
        <v>0</v>
      </c>
      <c r="AH155" s="75">
        <v>298</v>
      </c>
      <c r="AI155" s="74">
        <v>298</v>
      </c>
      <c r="AJ155" s="73">
        <f t="shared" si="63"/>
        <v>0</v>
      </c>
      <c r="AL155" s="79"/>
      <c r="AM155" s="79"/>
    </row>
    <row r="156" spans="1:39" ht="22.5" customHeight="1">
      <c r="A156" s="68">
        <v>140</v>
      </c>
      <c r="B156" s="80" t="s">
        <v>152</v>
      </c>
      <c r="C156" s="70">
        <v>9946</v>
      </c>
      <c r="D156" s="71">
        <f t="shared" si="64"/>
        <v>24849.7</v>
      </c>
      <c r="E156" s="72">
        <f t="shared" si="65"/>
        <v>24849.7</v>
      </c>
      <c r="F156" s="73">
        <f t="shared" si="52"/>
        <v>0</v>
      </c>
      <c r="G156" s="74"/>
      <c r="H156" s="72"/>
      <c r="I156" s="73">
        <f t="shared" si="53"/>
        <v>0</v>
      </c>
      <c r="J156" s="75">
        <v>0</v>
      </c>
      <c r="K156" s="74">
        <v>0</v>
      </c>
      <c r="L156" s="76">
        <f t="shared" si="54"/>
        <v>0</v>
      </c>
      <c r="M156" s="74">
        <v>0</v>
      </c>
      <c r="N156" s="77">
        <v>0</v>
      </c>
      <c r="O156" s="73">
        <f t="shared" si="55"/>
        <v>0</v>
      </c>
      <c r="P156" s="78">
        <v>24849.7</v>
      </c>
      <c r="Q156" s="72">
        <f t="shared" si="51"/>
        <v>24849.7</v>
      </c>
      <c r="R156" s="76">
        <f t="shared" si="56"/>
        <v>0</v>
      </c>
      <c r="S156" s="75">
        <v>0</v>
      </c>
      <c r="T156" s="74">
        <v>0</v>
      </c>
      <c r="U156" s="73">
        <f t="shared" si="57"/>
        <v>0</v>
      </c>
      <c r="V156" s="71">
        <f t="shared" si="58"/>
        <v>28559.5</v>
      </c>
      <c r="W156" s="72">
        <f t="shared" si="58"/>
        <v>28559.5</v>
      </c>
      <c r="X156" s="73">
        <f t="shared" si="59"/>
        <v>0</v>
      </c>
      <c r="Y156" s="75">
        <v>26964.1</v>
      </c>
      <c r="Z156" s="74">
        <v>26964.1</v>
      </c>
      <c r="AA156" s="73">
        <f t="shared" si="60"/>
        <v>0</v>
      </c>
      <c r="AB156" s="71">
        <v>1595.4000000000015</v>
      </c>
      <c r="AC156" s="72">
        <v>1595.4000000000015</v>
      </c>
      <c r="AD156" s="73">
        <f t="shared" si="61"/>
        <v>0</v>
      </c>
      <c r="AE156" s="71"/>
      <c r="AF156" s="72"/>
      <c r="AG156" s="73">
        <f t="shared" si="62"/>
        <v>0</v>
      </c>
      <c r="AH156" s="75">
        <v>0</v>
      </c>
      <c r="AI156" s="74">
        <v>0</v>
      </c>
      <c r="AJ156" s="73">
        <f t="shared" si="63"/>
        <v>0</v>
      </c>
      <c r="AL156" s="79"/>
      <c r="AM156" s="79"/>
    </row>
    <row r="157" spans="1:39" ht="22.5" customHeight="1">
      <c r="A157" s="68">
        <v>141</v>
      </c>
      <c r="B157" s="80" t="s">
        <v>153</v>
      </c>
      <c r="C157" s="70">
        <v>5371.4</v>
      </c>
      <c r="D157" s="71">
        <f t="shared" si="64"/>
        <v>8880.6</v>
      </c>
      <c r="E157" s="72">
        <f t="shared" si="65"/>
        <v>8880.6</v>
      </c>
      <c r="F157" s="73">
        <f t="shared" si="52"/>
        <v>0</v>
      </c>
      <c r="G157" s="74"/>
      <c r="H157" s="72"/>
      <c r="I157" s="73">
        <f t="shared" si="53"/>
        <v>0</v>
      </c>
      <c r="J157" s="75">
        <v>0</v>
      </c>
      <c r="K157" s="74">
        <v>0</v>
      </c>
      <c r="L157" s="76">
        <f t="shared" si="54"/>
        <v>0</v>
      </c>
      <c r="M157" s="74">
        <v>0</v>
      </c>
      <c r="N157" s="77">
        <v>0</v>
      </c>
      <c r="O157" s="73">
        <f t="shared" si="55"/>
        <v>0</v>
      </c>
      <c r="P157" s="78">
        <v>8870</v>
      </c>
      <c r="Q157" s="72">
        <f t="shared" si="51"/>
        <v>8870</v>
      </c>
      <c r="R157" s="76">
        <f t="shared" si="56"/>
        <v>0</v>
      </c>
      <c r="S157" s="75">
        <f>7.3+3.2+0.1</f>
        <v>10.6</v>
      </c>
      <c r="T157" s="74">
        <f>7.3+3.2+0.1</f>
        <v>10.6</v>
      </c>
      <c r="U157" s="73">
        <f t="shared" si="57"/>
        <v>0</v>
      </c>
      <c r="V157" s="71">
        <f t="shared" si="58"/>
        <v>10101.6</v>
      </c>
      <c r="W157" s="72">
        <f t="shared" si="58"/>
        <v>10101.6</v>
      </c>
      <c r="X157" s="73">
        <f t="shared" si="59"/>
        <v>0</v>
      </c>
      <c r="Y157" s="75">
        <v>6772.5</v>
      </c>
      <c r="Z157" s="74">
        <v>6772.5</v>
      </c>
      <c r="AA157" s="73">
        <f t="shared" si="60"/>
        <v>0</v>
      </c>
      <c r="AB157" s="71">
        <v>3321.6000000000004</v>
      </c>
      <c r="AC157" s="72">
        <v>3321.6000000000004</v>
      </c>
      <c r="AD157" s="73">
        <f t="shared" si="61"/>
        <v>0</v>
      </c>
      <c r="AE157" s="71"/>
      <c r="AF157" s="72"/>
      <c r="AG157" s="73">
        <f t="shared" si="62"/>
        <v>0</v>
      </c>
      <c r="AH157" s="75">
        <v>7.5</v>
      </c>
      <c r="AI157" s="74">
        <v>7.5</v>
      </c>
      <c r="AJ157" s="73">
        <f t="shared" si="63"/>
        <v>0</v>
      </c>
      <c r="AL157" s="79"/>
      <c r="AM157" s="79"/>
    </row>
    <row r="158" spans="1:39" ht="22.5" customHeight="1">
      <c r="A158" s="68">
        <v>142</v>
      </c>
      <c r="B158" s="80" t="s">
        <v>154</v>
      </c>
      <c r="C158" s="70">
        <v>8188.9</v>
      </c>
      <c r="D158" s="71">
        <f t="shared" si="64"/>
        <v>11466</v>
      </c>
      <c r="E158" s="72">
        <f t="shared" si="65"/>
        <v>11466</v>
      </c>
      <c r="F158" s="73">
        <f t="shared" si="52"/>
        <v>0</v>
      </c>
      <c r="G158" s="74"/>
      <c r="H158" s="72"/>
      <c r="I158" s="73">
        <f t="shared" si="53"/>
        <v>0</v>
      </c>
      <c r="J158" s="75">
        <v>0</v>
      </c>
      <c r="K158" s="74">
        <v>0</v>
      </c>
      <c r="L158" s="76">
        <f t="shared" si="54"/>
        <v>0</v>
      </c>
      <c r="M158" s="74">
        <v>0</v>
      </c>
      <c r="N158" s="77">
        <v>0</v>
      </c>
      <c r="O158" s="73">
        <f t="shared" si="55"/>
        <v>0</v>
      </c>
      <c r="P158" s="78">
        <v>11450.2</v>
      </c>
      <c r="Q158" s="72">
        <f t="shared" si="51"/>
        <v>11450.2</v>
      </c>
      <c r="R158" s="76">
        <f t="shared" si="56"/>
        <v>0</v>
      </c>
      <c r="S158" s="75">
        <f>15.6+0.2</f>
        <v>15.799999999999999</v>
      </c>
      <c r="T158" s="74">
        <f>15.6+0.2</f>
        <v>15.799999999999999</v>
      </c>
      <c r="U158" s="73">
        <f t="shared" si="57"/>
        <v>0</v>
      </c>
      <c r="V158" s="71">
        <f t="shared" si="58"/>
        <v>10997.3</v>
      </c>
      <c r="W158" s="72">
        <f t="shared" si="58"/>
        <v>10997.3</v>
      </c>
      <c r="X158" s="73">
        <f t="shared" si="59"/>
        <v>0</v>
      </c>
      <c r="Y158" s="75">
        <v>8438</v>
      </c>
      <c r="Z158" s="74">
        <v>8438</v>
      </c>
      <c r="AA158" s="73">
        <f t="shared" si="60"/>
        <v>0</v>
      </c>
      <c r="AB158" s="71">
        <v>2552.1999999999989</v>
      </c>
      <c r="AC158" s="72">
        <v>2552.1999999999989</v>
      </c>
      <c r="AD158" s="73">
        <f t="shared" si="61"/>
        <v>0</v>
      </c>
      <c r="AE158" s="71"/>
      <c r="AF158" s="72"/>
      <c r="AG158" s="73">
        <f t="shared" si="62"/>
        <v>0</v>
      </c>
      <c r="AH158" s="75">
        <v>7.1</v>
      </c>
      <c r="AI158" s="74">
        <v>7.1</v>
      </c>
      <c r="AJ158" s="73">
        <f t="shared" si="63"/>
        <v>0</v>
      </c>
      <c r="AL158" s="79"/>
      <c r="AM158" s="79"/>
    </row>
    <row r="159" spans="1:39" ht="22.5" customHeight="1">
      <c r="A159" s="68">
        <v>143</v>
      </c>
      <c r="B159" s="80" t="s">
        <v>155</v>
      </c>
      <c r="C159" s="70">
        <v>8051.4</v>
      </c>
      <c r="D159" s="71">
        <f t="shared" si="64"/>
        <v>20396.400000000001</v>
      </c>
      <c r="E159" s="72">
        <f t="shared" si="65"/>
        <v>20396.400000000001</v>
      </c>
      <c r="F159" s="73">
        <f t="shared" si="52"/>
        <v>0</v>
      </c>
      <c r="G159" s="74"/>
      <c r="H159" s="72"/>
      <c r="I159" s="73">
        <f t="shared" si="53"/>
        <v>0</v>
      </c>
      <c r="J159" s="75">
        <v>0</v>
      </c>
      <c r="K159" s="74">
        <v>0</v>
      </c>
      <c r="L159" s="76">
        <f t="shared" si="54"/>
        <v>0</v>
      </c>
      <c r="M159" s="74">
        <v>0</v>
      </c>
      <c r="N159" s="77">
        <v>0</v>
      </c>
      <c r="O159" s="73">
        <f t="shared" si="55"/>
        <v>0</v>
      </c>
      <c r="P159" s="78">
        <v>20342.400000000001</v>
      </c>
      <c r="Q159" s="72">
        <f t="shared" si="51"/>
        <v>20342.400000000001</v>
      </c>
      <c r="R159" s="76">
        <f t="shared" si="56"/>
        <v>0</v>
      </c>
      <c r="S159" s="75">
        <v>54</v>
      </c>
      <c r="T159" s="74">
        <v>54</v>
      </c>
      <c r="U159" s="73">
        <f t="shared" si="57"/>
        <v>0</v>
      </c>
      <c r="V159" s="71">
        <f t="shared" si="58"/>
        <v>23552.400000000001</v>
      </c>
      <c r="W159" s="72">
        <f t="shared" si="58"/>
        <v>23552.400000000001</v>
      </c>
      <c r="X159" s="73">
        <f t="shared" si="59"/>
        <v>0</v>
      </c>
      <c r="Y159" s="75">
        <v>21624.3</v>
      </c>
      <c r="Z159" s="74">
        <v>21624.3</v>
      </c>
      <c r="AA159" s="73">
        <f t="shared" si="60"/>
        <v>0</v>
      </c>
      <c r="AB159" s="71">
        <v>1919.6000000000022</v>
      </c>
      <c r="AC159" s="72">
        <v>1919.6000000000022</v>
      </c>
      <c r="AD159" s="73">
        <f t="shared" si="61"/>
        <v>0</v>
      </c>
      <c r="AE159" s="71"/>
      <c r="AF159" s="72"/>
      <c r="AG159" s="73">
        <f t="shared" si="62"/>
        <v>0</v>
      </c>
      <c r="AH159" s="75">
        <v>8.5</v>
      </c>
      <c r="AI159" s="74">
        <v>8.5</v>
      </c>
      <c r="AJ159" s="73">
        <f t="shared" si="63"/>
        <v>0</v>
      </c>
      <c r="AL159" s="79"/>
      <c r="AM159" s="79"/>
    </row>
    <row r="160" spans="1:39" ht="22.5" customHeight="1">
      <c r="A160" s="68">
        <v>144</v>
      </c>
      <c r="B160" s="80" t="s">
        <v>156</v>
      </c>
      <c r="C160" s="70">
        <v>5433.2</v>
      </c>
      <c r="D160" s="71">
        <f t="shared" si="64"/>
        <v>16362.1</v>
      </c>
      <c r="E160" s="72">
        <f t="shared" si="65"/>
        <v>16362.1</v>
      </c>
      <c r="F160" s="73">
        <f t="shared" si="52"/>
        <v>0</v>
      </c>
      <c r="G160" s="74"/>
      <c r="H160" s="72"/>
      <c r="I160" s="73">
        <f t="shared" si="53"/>
        <v>0</v>
      </c>
      <c r="J160" s="75">
        <v>0</v>
      </c>
      <c r="K160" s="74">
        <v>0</v>
      </c>
      <c r="L160" s="76">
        <f t="shared" si="54"/>
        <v>0</v>
      </c>
      <c r="M160" s="74">
        <v>0</v>
      </c>
      <c r="N160" s="77">
        <v>0</v>
      </c>
      <c r="O160" s="73">
        <f t="shared" si="55"/>
        <v>0</v>
      </c>
      <c r="P160" s="78">
        <v>16334.9</v>
      </c>
      <c r="Q160" s="72">
        <f t="shared" si="51"/>
        <v>16334.9</v>
      </c>
      <c r="R160" s="76">
        <f t="shared" si="56"/>
        <v>0</v>
      </c>
      <c r="S160" s="75">
        <f>15.1+12.1</f>
        <v>27.2</v>
      </c>
      <c r="T160" s="74">
        <f>15.1+12.1</f>
        <v>27.2</v>
      </c>
      <c r="U160" s="73">
        <f t="shared" si="57"/>
        <v>0</v>
      </c>
      <c r="V160" s="71">
        <f t="shared" si="58"/>
        <v>21248.1</v>
      </c>
      <c r="W160" s="72">
        <f t="shared" si="58"/>
        <v>21248.1</v>
      </c>
      <c r="X160" s="73">
        <f t="shared" si="59"/>
        <v>0</v>
      </c>
      <c r="Y160" s="75">
        <v>17853</v>
      </c>
      <c r="Z160" s="74">
        <v>17853</v>
      </c>
      <c r="AA160" s="73">
        <f t="shared" si="60"/>
        <v>0</v>
      </c>
      <c r="AB160" s="71">
        <v>3390.5999999999985</v>
      </c>
      <c r="AC160" s="72">
        <v>3390.5999999999985</v>
      </c>
      <c r="AD160" s="73">
        <f t="shared" si="61"/>
        <v>0</v>
      </c>
      <c r="AE160" s="71"/>
      <c r="AF160" s="72"/>
      <c r="AG160" s="73">
        <f t="shared" si="62"/>
        <v>0</v>
      </c>
      <c r="AH160" s="75">
        <v>4.5</v>
      </c>
      <c r="AI160" s="74">
        <v>4.5</v>
      </c>
      <c r="AJ160" s="73">
        <f t="shared" si="63"/>
        <v>0</v>
      </c>
      <c r="AL160" s="79"/>
      <c r="AM160" s="79"/>
    </row>
    <row r="161" spans="1:39" ht="22.5" customHeight="1">
      <c r="A161" s="68">
        <v>145</v>
      </c>
      <c r="B161" s="80" t="s">
        <v>157</v>
      </c>
      <c r="C161" s="70">
        <v>36306</v>
      </c>
      <c r="D161" s="71">
        <f t="shared" si="64"/>
        <v>25456.7</v>
      </c>
      <c r="E161" s="72">
        <f t="shared" si="65"/>
        <v>25456.7</v>
      </c>
      <c r="F161" s="73">
        <f t="shared" si="52"/>
        <v>0</v>
      </c>
      <c r="G161" s="74"/>
      <c r="H161" s="72"/>
      <c r="I161" s="73">
        <f t="shared" si="53"/>
        <v>0</v>
      </c>
      <c r="J161" s="75">
        <v>0</v>
      </c>
      <c r="K161" s="74">
        <v>0</v>
      </c>
      <c r="L161" s="76">
        <f t="shared" si="54"/>
        <v>0</v>
      </c>
      <c r="M161" s="74">
        <v>0</v>
      </c>
      <c r="N161" s="77">
        <v>0</v>
      </c>
      <c r="O161" s="73">
        <f t="shared" si="55"/>
        <v>0</v>
      </c>
      <c r="P161" s="78">
        <v>25335.4</v>
      </c>
      <c r="Q161" s="72">
        <f t="shared" si="51"/>
        <v>25335.4</v>
      </c>
      <c r="R161" s="76">
        <f t="shared" si="56"/>
        <v>0</v>
      </c>
      <c r="S161" s="75">
        <f>17.2+15+89.1</f>
        <v>121.3</v>
      </c>
      <c r="T161" s="74">
        <f>17.2+15+89.1</f>
        <v>121.3</v>
      </c>
      <c r="U161" s="73">
        <f t="shared" si="57"/>
        <v>0</v>
      </c>
      <c r="V161" s="71">
        <f t="shared" si="58"/>
        <v>30760.5</v>
      </c>
      <c r="W161" s="72">
        <f t="shared" si="58"/>
        <v>30760.5</v>
      </c>
      <c r="X161" s="73">
        <f t="shared" si="59"/>
        <v>0</v>
      </c>
      <c r="Y161" s="75">
        <v>26566.2</v>
      </c>
      <c r="Z161" s="74">
        <v>26566.2</v>
      </c>
      <c r="AA161" s="73">
        <f t="shared" si="60"/>
        <v>0</v>
      </c>
      <c r="AB161" s="71">
        <v>4191.2999999999993</v>
      </c>
      <c r="AC161" s="72">
        <v>4191.2999999999993</v>
      </c>
      <c r="AD161" s="73">
        <f t="shared" si="61"/>
        <v>0</v>
      </c>
      <c r="AE161" s="71"/>
      <c r="AF161" s="72"/>
      <c r="AG161" s="73">
        <f t="shared" si="62"/>
        <v>0</v>
      </c>
      <c r="AH161" s="75">
        <v>3</v>
      </c>
      <c r="AI161" s="74">
        <v>3</v>
      </c>
      <c r="AJ161" s="73">
        <f t="shared" si="63"/>
        <v>0</v>
      </c>
      <c r="AL161" s="79"/>
      <c r="AM161" s="79"/>
    </row>
    <row r="162" spans="1:39" ht="22.5" customHeight="1">
      <c r="A162" s="68">
        <v>146</v>
      </c>
      <c r="B162" s="80" t="s">
        <v>158</v>
      </c>
      <c r="C162" s="70">
        <v>8873.7000000000007</v>
      </c>
      <c r="D162" s="71">
        <f t="shared" si="64"/>
        <v>20684.7</v>
      </c>
      <c r="E162" s="72">
        <f t="shared" si="65"/>
        <v>20684.7</v>
      </c>
      <c r="F162" s="73">
        <f t="shared" si="52"/>
        <v>0</v>
      </c>
      <c r="G162" s="74"/>
      <c r="H162" s="72"/>
      <c r="I162" s="73">
        <f t="shared" si="53"/>
        <v>0</v>
      </c>
      <c r="J162" s="75">
        <v>0</v>
      </c>
      <c r="K162" s="74">
        <v>0</v>
      </c>
      <c r="L162" s="76">
        <f t="shared" si="54"/>
        <v>0</v>
      </c>
      <c r="M162" s="74">
        <v>0</v>
      </c>
      <c r="N162" s="77">
        <v>0</v>
      </c>
      <c r="O162" s="73">
        <f t="shared" si="55"/>
        <v>0</v>
      </c>
      <c r="P162" s="78">
        <v>20611.8</v>
      </c>
      <c r="Q162" s="72">
        <f t="shared" si="51"/>
        <v>20611.8</v>
      </c>
      <c r="R162" s="76">
        <f t="shared" si="56"/>
        <v>0</v>
      </c>
      <c r="S162" s="75">
        <f>55.7+17+0.2</f>
        <v>72.900000000000006</v>
      </c>
      <c r="T162" s="74">
        <f>55.7+17+0.2</f>
        <v>72.900000000000006</v>
      </c>
      <c r="U162" s="73">
        <f t="shared" si="57"/>
        <v>0</v>
      </c>
      <c r="V162" s="71">
        <f t="shared" si="58"/>
        <v>26000.6</v>
      </c>
      <c r="W162" s="72">
        <f t="shared" si="58"/>
        <v>26000.6</v>
      </c>
      <c r="X162" s="73">
        <f t="shared" si="59"/>
        <v>0</v>
      </c>
      <c r="Y162" s="75">
        <v>21744.400000000001</v>
      </c>
      <c r="Z162" s="74">
        <v>21744.400000000001</v>
      </c>
      <c r="AA162" s="73">
        <f t="shared" si="60"/>
        <v>0</v>
      </c>
      <c r="AB162" s="71">
        <v>3959.1999999999971</v>
      </c>
      <c r="AC162" s="72">
        <v>3959.1999999999971</v>
      </c>
      <c r="AD162" s="73">
        <f t="shared" si="61"/>
        <v>0</v>
      </c>
      <c r="AE162" s="71"/>
      <c r="AF162" s="72"/>
      <c r="AG162" s="73">
        <f t="shared" si="62"/>
        <v>0</v>
      </c>
      <c r="AH162" s="75">
        <v>297</v>
      </c>
      <c r="AI162" s="74">
        <v>297</v>
      </c>
      <c r="AJ162" s="73">
        <f t="shared" si="63"/>
        <v>0</v>
      </c>
      <c r="AL162" s="79"/>
      <c r="AM162" s="79"/>
    </row>
    <row r="163" spans="1:39" ht="22.5" customHeight="1">
      <c r="A163" s="68">
        <v>147</v>
      </c>
      <c r="B163" s="80" t="s">
        <v>159</v>
      </c>
      <c r="C163" s="83">
        <v>1351.2</v>
      </c>
      <c r="D163" s="71">
        <f t="shared" si="64"/>
        <v>13964.2</v>
      </c>
      <c r="E163" s="72">
        <f t="shared" si="65"/>
        <v>13964.2</v>
      </c>
      <c r="F163" s="73">
        <f t="shared" si="52"/>
        <v>0</v>
      </c>
      <c r="G163" s="84"/>
      <c r="H163" s="72"/>
      <c r="I163" s="73">
        <f t="shared" si="53"/>
        <v>0</v>
      </c>
      <c r="J163" s="75">
        <v>0</v>
      </c>
      <c r="K163" s="74">
        <v>0</v>
      </c>
      <c r="L163" s="76">
        <f t="shared" si="54"/>
        <v>0</v>
      </c>
      <c r="M163" s="74">
        <v>0</v>
      </c>
      <c r="N163" s="77">
        <v>0</v>
      </c>
      <c r="O163" s="73">
        <f t="shared" si="55"/>
        <v>0</v>
      </c>
      <c r="P163" s="78">
        <v>13960.1</v>
      </c>
      <c r="Q163" s="72">
        <f t="shared" si="51"/>
        <v>13960.1</v>
      </c>
      <c r="R163" s="76">
        <f t="shared" si="56"/>
        <v>0</v>
      </c>
      <c r="S163" s="75">
        <v>4.0999999999999996</v>
      </c>
      <c r="T163" s="74">
        <v>4.0999999999999996</v>
      </c>
      <c r="U163" s="73">
        <f t="shared" si="57"/>
        <v>0</v>
      </c>
      <c r="V163" s="71">
        <f t="shared" si="58"/>
        <v>13640.2</v>
      </c>
      <c r="W163" s="72">
        <f t="shared" si="58"/>
        <v>13640.2</v>
      </c>
      <c r="X163" s="73">
        <f t="shared" si="59"/>
        <v>0</v>
      </c>
      <c r="Y163" s="75">
        <v>11539.7</v>
      </c>
      <c r="Z163" s="74">
        <v>11539.7</v>
      </c>
      <c r="AA163" s="73">
        <f t="shared" si="60"/>
        <v>0</v>
      </c>
      <c r="AB163" s="71">
        <v>2100.5</v>
      </c>
      <c r="AC163" s="72">
        <v>2100.5</v>
      </c>
      <c r="AD163" s="73">
        <f t="shared" si="61"/>
        <v>0</v>
      </c>
      <c r="AE163" s="71"/>
      <c r="AF163" s="72"/>
      <c r="AG163" s="73">
        <f t="shared" si="62"/>
        <v>0</v>
      </c>
      <c r="AH163" s="75">
        <v>0</v>
      </c>
      <c r="AI163" s="74">
        <v>0</v>
      </c>
      <c r="AJ163" s="73">
        <f t="shared" si="63"/>
        <v>0</v>
      </c>
      <c r="AL163" s="79"/>
      <c r="AM163" s="79"/>
    </row>
    <row r="164" spans="1:39" ht="21" customHeight="1">
      <c r="A164" s="68">
        <v>148</v>
      </c>
      <c r="B164" s="69" t="s">
        <v>175</v>
      </c>
      <c r="C164" s="70">
        <v>4276.8999999999996</v>
      </c>
      <c r="D164" s="71">
        <f t="shared" si="64"/>
        <v>21940</v>
      </c>
      <c r="E164" s="72">
        <f t="shared" si="65"/>
        <v>21940</v>
      </c>
      <c r="F164" s="73">
        <f t="shared" si="52"/>
        <v>0</v>
      </c>
      <c r="G164" s="74"/>
      <c r="H164" s="72"/>
      <c r="I164" s="73">
        <f t="shared" si="53"/>
        <v>0</v>
      </c>
      <c r="J164" s="75">
        <v>0</v>
      </c>
      <c r="K164" s="74">
        <v>0</v>
      </c>
      <c r="L164" s="76">
        <f t="shared" si="54"/>
        <v>0</v>
      </c>
      <c r="M164" s="74">
        <v>0</v>
      </c>
      <c r="N164" s="77">
        <v>0</v>
      </c>
      <c r="O164" s="73">
        <f t="shared" si="55"/>
        <v>0</v>
      </c>
      <c r="P164" s="78">
        <v>21806.400000000001</v>
      </c>
      <c r="Q164" s="72">
        <f t="shared" si="51"/>
        <v>21806.400000000001</v>
      </c>
      <c r="R164" s="76">
        <f t="shared" si="56"/>
        <v>0</v>
      </c>
      <c r="S164" s="75">
        <f>5.2+63.2+65.2</f>
        <v>133.60000000000002</v>
      </c>
      <c r="T164" s="74">
        <f>5.2+63.2+65.2</f>
        <v>133.60000000000002</v>
      </c>
      <c r="U164" s="73">
        <f t="shared" si="57"/>
        <v>0</v>
      </c>
      <c r="V164" s="71">
        <f t="shared" ref="V164:W175" si="66">Y164+AB164+AE164+AH164</f>
        <v>20662.7</v>
      </c>
      <c r="W164" s="72">
        <f t="shared" si="66"/>
        <v>20662.7</v>
      </c>
      <c r="X164" s="73">
        <f t="shared" si="59"/>
        <v>0</v>
      </c>
      <c r="Y164" s="75">
        <v>16990.400000000001</v>
      </c>
      <c r="Z164" s="74">
        <v>16990.400000000001</v>
      </c>
      <c r="AA164" s="73">
        <f t="shared" si="60"/>
        <v>0</v>
      </c>
      <c r="AB164" s="71">
        <v>3635.3999999999978</v>
      </c>
      <c r="AC164" s="72">
        <v>3635.3999999999978</v>
      </c>
      <c r="AD164" s="73">
        <f t="shared" si="61"/>
        <v>0</v>
      </c>
      <c r="AE164" s="71"/>
      <c r="AF164" s="72"/>
      <c r="AG164" s="73">
        <f t="shared" si="62"/>
        <v>0</v>
      </c>
      <c r="AH164" s="75">
        <v>36.9</v>
      </c>
      <c r="AI164" s="74">
        <v>36.9</v>
      </c>
      <c r="AJ164" s="73">
        <f t="shared" si="63"/>
        <v>0</v>
      </c>
      <c r="AL164" s="79"/>
      <c r="AM164" s="79"/>
    </row>
    <row r="165" spans="1:39" ht="21" customHeight="1">
      <c r="A165" s="68">
        <v>149</v>
      </c>
      <c r="B165" s="80" t="s">
        <v>176</v>
      </c>
      <c r="C165" s="70">
        <v>7319.8</v>
      </c>
      <c r="D165" s="71">
        <f t="shared" si="64"/>
        <v>26458.3</v>
      </c>
      <c r="E165" s="72">
        <f t="shared" si="65"/>
        <v>26458.3</v>
      </c>
      <c r="F165" s="73">
        <f t="shared" si="52"/>
        <v>0</v>
      </c>
      <c r="G165" s="74"/>
      <c r="H165" s="72"/>
      <c r="I165" s="73">
        <f t="shared" si="53"/>
        <v>0</v>
      </c>
      <c r="J165" s="75">
        <v>941</v>
      </c>
      <c r="K165" s="74">
        <v>941</v>
      </c>
      <c r="L165" s="76">
        <f t="shared" si="54"/>
        <v>0</v>
      </c>
      <c r="M165" s="74">
        <v>0</v>
      </c>
      <c r="N165" s="77">
        <v>0</v>
      </c>
      <c r="O165" s="73">
        <f t="shared" si="55"/>
        <v>0</v>
      </c>
      <c r="P165" s="78">
        <v>25494.3</v>
      </c>
      <c r="Q165" s="72">
        <f t="shared" si="51"/>
        <v>25494.3</v>
      </c>
      <c r="R165" s="76">
        <f t="shared" si="56"/>
        <v>0</v>
      </c>
      <c r="S165" s="75">
        <v>23</v>
      </c>
      <c r="T165" s="74">
        <v>23</v>
      </c>
      <c r="U165" s="73">
        <f t="shared" si="57"/>
        <v>0</v>
      </c>
      <c r="V165" s="71">
        <f t="shared" si="66"/>
        <v>27275.5</v>
      </c>
      <c r="W165" s="72">
        <f t="shared" si="66"/>
        <v>27275.5</v>
      </c>
      <c r="X165" s="73">
        <f t="shared" si="59"/>
        <v>0</v>
      </c>
      <c r="Y165" s="75">
        <v>25224.9</v>
      </c>
      <c r="Z165" s="74">
        <v>25224.9</v>
      </c>
      <c r="AA165" s="73">
        <f t="shared" si="60"/>
        <v>0</v>
      </c>
      <c r="AB165" s="71">
        <v>1950.5999999999985</v>
      </c>
      <c r="AC165" s="72">
        <v>1950.5999999999985</v>
      </c>
      <c r="AD165" s="73">
        <f t="shared" si="61"/>
        <v>0</v>
      </c>
      <c r="AE165" s="71"/>
      <c r="AF165" s="72"/>
      <c r="AG165" s="73">
        <f t="shared" si="62"/>
        <v>0</v>
      </c>
      <c r="AH165" s="75">
        <v>100</v>
      </c>
      <c r="AI165" s="74">
        <v>100</v>
      </c>
      <c r="AJ165" s="73">
        <f t="shared" si="63"/>
        <v>0</v>
      </c>
      <c r="AL165" s="79"/>
      <c r="AM165" s="79"/>
    </row>
    <row r="166" spans="1:39" ht="21" customHeight="1">
      <c r="A166" s="68">
        <v>150</v>
      </c>
      <c r="B166" s="80" t="s">
        <v>177</v>
      </c>
      <c r="C166" s="70">
        <v>10166.9</v>
      </c>
      <c r="D166" s="71">
        <f t="shared" si="64"/>
        <v>9236.1</v>
      </c>
      <c r="E166" s="72">
        <f t="shared" si="65"/>
        <v>9236.1</v>
      </c>
      <c r="F166" s="73">
        <f t="shared" si="52"/>
        <v>0</v>
      </c>
      <c r="G166" s="74"/>
      <c r="H166" s="72"/>
      <c r="I166" s="73">
        <f t="shared" si="53"/>
        <v>0</v>
      </c>
      <c r="J166" s="75">
        <v>0</v>
      </c>
      <c r="K166" s="74">
        <v>0</v>
      </c>
      <c r="L166" s="76">
        <f t="shared" si="54"/>
        <v>0</v>
      </c>
      <c r="M166" s="74">
        <v>0</v>
      </c>
      <c r="N166" s="77">
        <v>0</v>
      </c>
      <c r="O166" s="73">
        <f t="shared" si="55"/>
        <v>0</v>
      </c>
      <c r="P166" s="78">
        <v>9079.9</v>
      </c>
      <c r="Q166" s="72">
        <f t="shared" si="51"/>
        <v>9079.9</v>
      </c>
      <c r="R166" s="76">
        <f t="shared" si="56"/>
        <v>0</v>
      </c>
      <c r="S166" s="75">
        <f>144+12.2</f>
        <v>156.19999999999999</v>
      </c>
      <c r="T166" s="74">
        <f>144+12.2</f>
        <v>156.19999999999999</v>
      </c>
      <c r="U166" s="73">
        <f t="shared" si="57"/>
        <v>0</v>
      </c>
      <c r="V166" s="71">
        <f t="shared" si="66"/>
        <v>10108.799999999999</v>
      </c>
      <c r="W166" s="72">
        <f t="shared" si="66"/>
        <v>10108.799999999999</v>
      </c>
      <c r="X166" s="73">
        <f t="shared" si="59"/>
        <v>0</v>
      </c>
      <c r="Y166" s="75">
        <v>7551.1</v>
      </c>
      <c r="Z166" s="74">
        <v>7551.1</v>
      </c>
      <c r="AA166" s="73">
        <f t="shared" si="60"/>
        <v>0</v>
      </c>
      <c r="AB166" s="71">
        <v>2557.6999999999989</v>
      </c>
      <c r="AC166" s="72">
        <v>2557.6999999999989</v>
      </c>
      <c r="AD166" s="73">
        <f t="shared" si="61"/>
        <v>0</v>
      </c>
      <c r="AE166" s="71"/>
      <c r="AF166" s="72"/>
      <c r="AG166" s="73">
        <f t="shared" si="62"/>
        <v>0</v>
      </c>
      <c r="AH166" s="75">
        <v>0</v>
      </c>
      <c r="AI166" s="74">
        <v>0</v>
      </c>
      <c r="AJ166" s="73">
        <f t="shared" si="63"/>
        <v>0</v>
      </c>
      <c r="AL166" s="79"/>
      <c r="AM166" s="79"/>
    </row>
    <row r="167" spans="1:39" ht="21" customHeight="1">
      <c r="A167" s="68">
        <v>151</v>
      </c>
      <c r="B167" s="80" t="s">
        <v>178</v>
      </c>
      <c r="C167" s="70">
        <v>5265.1</v>
      </c>
      <c r="D167" s="71">
        <f t="shared" si="64"/>
        <v>27420.2</v>
      </c>
      <c r="E167" s="72">
        <f t="shared" si="65"/>
        <v>27420.2</v>
      </c>
      <c r="F167" s="73">
        <f t="shared" si="52"/>
        <v>0</v>
      </c>
      <c r="G167" s="74"/>
      <c r="H167" s="72"/>
      <c r="I167" s="73">
        <f t="shared" si="53"/>
        <v>0</v>
      </c>
      <c r="J167" s="75">
        <v>0</v>
      </c>
      <c r="K167" s="74">
        <v>0</v>
      </c>
      <c r="L167" s="76">
        <f t="shared" si="54"/>
        <v>0</v>
      </c>
      <c r="M167" s="74">
        <v>0</v>
      </c>
      <c r="N167" s="77">
        <v>0</v>
      </c>
      <c r="O167" s="73">
        <f t="shared" si="55"/>
        <v>0</v>
      </c>
      <c r="P167" s="78">
        <v>27399</v>
      </c>
      <c r="Q167" s="72">
        <f t="shared" si="51"/>
        <v>27399</v>
      </c>
      <c r="R167" s="76">
        <f t="shared" si="56"/>
        <v>0</v>
      </c>
      <c r="S167" s="75">
        <f>21+0.2</f>
        <v>21.2</v>
      </c>
      <c r="T167" s="74">
        <f>21+0.2</f>
        <v>21.2</v>
      </c>
      <c r="U167" s="73">
        <f t="shared" si="57"/>
        <v>0</v>
      </c>
      <c r="V167" s="71">
        <f t="shared" si="66"/>
        <v>32021</v>
      </c>
      <c r="W167" s="72">
        <f t="shared" si="66"/>
        <v>32021</v>
      </c>
      <c r="X167" s="73">
        <f t="shared" si="59"/>
        <v>0</v>
      </c>
      <c r="Y167" s="75">
        <f>27136.7+2000</f>
        <v>29136.7</v>
      </c>
      <c r="Z167" s="74">
        <f>27136.7+2000</f>
        <v>29136.7</v>
      </c>
      <c r="AA167" s="73">
        <f t="shared" si="60"/>
        <v>0</v>
      </c>
      <c r="AB167" s="71">
        <v>2881.5</v>
      </c>
      <c r="AC167" s="72">
        <v>2881.5</v>
      </c>
      <c r="AD167" s="73">
        <f t="shared" si="61"/>
        <v>0</v>
      </c>
      <c r="AE167" s="71"/>
      <c r="AF167" s="72"/>
      <c r="AG167" s="73">
        <f t="shared" si="62"/>
        <v>0</v>
      </c>
      <c r="AH167" s="75">
        <v>2.8</v>
      </c>
      <c r="AI167" s="74">
        <v>2.8</v>
      </c>
      <c r="AJ167" s="73">
        <f t="shared" si="63"/>
        <v>0</v>
      </c>
      <c r="AL167" s="79"/>
      <c r="AM167" s="79"/>
    </row>
    <row r="168" spans="1:39" ht="21" customHeight="1">
      <c r="A168" s="68">
        <v>152</v>
      </c>
      <c r="B168" s="80" t="s">
        <v>179</v>
      </c>
      <c r="C168" s="70">
        <v>4489.3999999999996</v>
      </c>
      <c r="D168" s="71">
        <f t="shared" si="64"/>
        <v>11825</v>
      </c>
      <c r="E168" s="72">
        <f t="shared" si="65"/>
        <v>11825</v>
      </c>
      <c r="F168" s="73">
        <f t="shared" si="52"/>
        <v>0</v>
      </c>
      <c r="G168" s="74"/>
      <c r="H168" s="72"/>
      <c r="I168" s="73">
        <f t="shared" si="53"/>
        <v>0</v>
      </c>
      <c r="J168" s="75">
        <v>0</v>
      </c>
      <c r="K168" s="74">
        <v>0</v>
      </c>
      <c r="L168" s="76">
        <f t="shared" si="54"/>
        <v>0</v>
      </c>
      <c r="M168" s="74">
        <v>0</v>
      </c>
      <c r="N168" s="77">
        <v>0</v>
      </c>
      <c r="O168" s="73">
        <f t="shared" si="55"/>
        <v>0</v>
      </c>
      <c r="P168" s="78">
        <v>9924.1</v>
      </c>
      <c r="Q168" s="72">
        <f t="shared" si="51"/>
        <v>9924.1</v>
      </c>
      <c r="R168" s="76">
        <f t="shared" si="56"/>
        <v>0</v>
      </c>
      <c r="S168" s="75">
        <f>1021.2+879.6+0.1</f>
        <v>1900.9</v>
      </c>
      <c r="T168" s="74">
        <f>1021.2+879.6+0.1</f>
        <v>1900.9</v>
      </c>
      <c r="U168" s="73">
        <f t="shared" si="57"/>
        <v>0</v>
      </c>
      <c r="V168" s="71">
        <f t="shared" si="66"/>
        <v>12623.3</v>
      </c>
      <c r="W168" s="72">
        <f t="shared" si="66"/>
        <v>12623.3</v>
      </c>
      <c r="X168" s="73">
        <f t="shared" si="59"/>
        <v>0</v>
      </c>
      <c r="Y168" s="75">
        <v>10776.4</v>
      </c>
      <c r="Z168" s="74">
        <v>10776.4</v>
      </c>
      <c r="AA168" s="73">
        <f t="shared" si="60"/>
        <v>0</v>
      </c>
      <c r="AB168" s="71">
        <v>1845.8999999999996</v>
      </c>
      <c r="AC168" s="72">
        <v>1845.8999999999996</v>
      </c>
      <c r="AD168" s="73">
        <f t="shared" si="61"/>
        <v>0</v>
      </c>
      <c r="AE168" s="71"/>
      <c r="AF168" s="72"/>
      <c r="AG168" s="73">
        <f t="shared" si="62"/>
        <v>0</v>
      </c>
      <c r="AH168" s="75">
        <v>1</v>
      </c>
      <c r="AI168" s="74">
        <v>1</v>
      </c>
      <c r="AJ168" s="73">
        <f t="shared" si="63"/>
        <v>0</v>
      </c>
      <c r="AL168" s="79"/>
      <c r="AM168" s="79"/>
    </row>
    <row r="169" spans="1:39" ht="21" customHeight="1">
      <c r="A169" s="68">
        <v>153</v>
      </c>
      <c r="B169" s="80" t="s">
        <v>180</v>
      </c>
      <c r="C169" s="83">
        <v>10099.700000000001</v>
      </c>
      <c r="D169" s="71">
        <f t="shared" si="64"/>
        <v>16944.7</v>
      </c>
      <c r="E169" s="72">
        <f t="shared" si="65"/>
        <v>16944.7</v>
      </c>
      <c r="F169" s="73">
        <f t="shared" si="52"/>
        <v>0</v>
      </c>
      <c r="G169" s="84"/>
      <c r="H169" s="72"/>
      <c r="I169" s="73">
        <f t="shared" si="53"/>
        <v>0</v>
      </c>
      <c r="J169" s="75">
        <v>0</v>
      </c>
      <c r="K169" s="74">
        <v>0</v>
      </c>
      <c r="L169" s="76">
        <f t="shared" si="54"/>
        <v>0</v>
      </c>
      <c r="M169" s="74">
        <v>0</v>
      </c>
      <c r="N169" s="77">
        <v>0</v>
      </c>
      <c r="O169" s="73">
        <f t="shared" si="55"/>
        <v>0</v>
      </c>
      <c r="P169" s="78">
        <v>16896.2</v>
      </c>
      <c r="Q169" s="72">
        <f t="shared" si="51"/>
        <v>16896.2</v>
      </c>
      <c r="R169" s="76">
        <f t="shared" si="56"/>
        <v>0</v>
      </c>
      <c r="S169" s="75">
        <f>48.2+0.3</f>
        <v>48.5</v>
      </c>
      <c r="T169" s="74">
        <f>48.2+0.3</f>
        <v>48.5</v>
      </c>
      <c r="U169" s="73">
        <f t="shared" si="57"/>
        <v>0</v>
      </c>
      <c r="V169" s="71">
        <f t="shared" si="66"/>
        <v>19910.8</v>
      </c>
      <c r="W169" s="72">
        <f t="shared" si="66"/>
        <v>19910.8</v>
      </c>
      <c r="X169" s="73">
        <f t="shared" si="59"/>
        <v>0</v>
      </c>
      <c r="Y169" s="75">
        <v>18876.099999999999</v>
      </c>
      <c r="Z169" s="74">
        <v>18876.099999999999</v>
      </c>
      <c r="AA169" s="73">
        <f t="shared" si="60"/>
        <v>0</v>
      </c>
      <c r="AB169" s="71">
        <v>1034.7000000000007</v>
      </c>
      <c r="AC169" s="72">
        <v>1034.7000000000007</v>
      </c>
      <c r="AD169" s="73">
        <f t="shared" si="61"/>
        <v>0</v>
      </c>
      <c r="AE169" s="71"/>
      <c r="AF169" s="72"/>
      <c r="AG169" s="73">
        <f t="shared" si="62"/>
        <v>0</v>
      </c>
      <c r="AH169" s="75">
        <v>0</v>
      </c>
      <c r="AI169" s="74">
        <v>0</v>
      </c>
      <c r="AJ169" s="73">
        <f t="shared" si="63"/>
        <v>0</v>
      </c>
      <c r="AL169" s="79"/>
      <c r="AM169" s="79"/>
    </row>
    <row r="170" spans="1:39" ht="21" customHeight="1">
      <c r="A170" s="68">
        <v>154</v>
      </c>
      <c r="B170" s="80" t="s">
        <v>181</v>
      </c>
      <c r="C170" s="70">
        <v>29157</v>
      </c>
      <c r="D170" s="71">
        <f t="shared" si="64"/>
        <v>34881.700000000004</v>
      </c>
      <c r="E170" s="72">
        <f t="shared" si="65"/>
        <v>34881.700000000004</v>
      </c>
      <c r="F170" s="73">
        <f t="shared" si="52"/>
        <v>0</v>
      </c>
      <c r="G170" s="74"/>
      <c r="H170" s="72"/>
      <c r="I170" s="73">
        <f t="shared" si="53"/>
        <v>0</v>
      </c>
      <c r="J170" s="75">
        <v>122</v>
      </c>
      <c r="K170" s="74">
        <v>122</v>
      </c>
      <c r="L170" s="76">
        <f t="shared" si="54"/>
        <v>0</v>
      </c>
      <c r="M170" s="74">
        <v>0</v>
      </c>
      <c r="N170" s="77">
        <v>0</v>
      </c>
      <c r="O170" s="73">
        <f t="shared" si="55"/>
        <v>0</v>
      </c>
      <c r="P170" s="78">
        <v>34608.9</v>
      </c>
      <c r="Q170" s="72">
        <f t="shared" si="51"/>
        <v>34608.9</v>
      </c>
      <c r="R170" s="76">
        <f t="shared" si="56"/>
        <v>0</v>
      </c>
      <c r="S170" s="75">
        <f>75+75.8</f>
        <v>150.80000000000001</v>
      </c>
      <c r="T170" s="74">
        <f>75+75.8</f>
        <v>150.80000000000001</v>
      </c>
      <c r="U170" s="73">
        <f t="shared" si="57"/>
        <v>0</v>
      </c>
      <c r="V170" s="71">
        <f t="shared" si="66"/>
        <v>26822.799999999999</v>
      </c>
      <c r="W170" s="72">
        <f t="shared" si="66"/>
        <v>26822.799999999999</v>
      </c>
      <c r="X170" s="73">
        <f t="shared" si="59"/>
        <v>0</v>
      </c>
      <c r="Y170" s="75">
        <v>18649.2</v>
      </c>
      <c r="Z170" s="74">
        <v>18649.2</v>
      </c>
      <c r="AA170" s="73">
        <f t="shared" si="60"/>
        <v>0</v>
      </c>
      <c r="AB170" s="71">
        <v>8173.5999999999985</v>
      </c>
      <c r="AC170" s="72">
        <v>8173.5999999999985</v>
      </c>
      <c r="AD170" s="73">
        <f t="shared" si="61"/>
        <v>0</v>
      </c>
      <c r="AE170" s="71"/>
      <c r="AF170" s="72"/>
      <c r="AG170" s="73">
        <f t="shared" si="62"/>
        <v>0</v>
      </c>
      <c r="AH170" s="75">
        <v>0</v>
      </c>
      <c r="AI170" s="74">
        <v>0</v>
      </c>
      <c r="AJ170" s="73">
        <f t="shared" si="63"/>
        <v>0</v>
      </c>
      <c r="AL170" s="79"/>
      <c r="AM170" s="79"/>
    </row>
    <row r="171" spans="1:39" ht="21" customHeight="1">
      <c r="A171" s="68">
        <v>155</v>
      </c>
      <c r="B171" s="80" t="s">
        <v>182</v>
      </c>
      <c r="C171" s="70">
        <v>11768.8</v>
      </c>
      <c r="D171" s="71">
        <f t="shared" si="64"/>
        <v>13855.9</v>
      </c>
      <c r="E171" s="72">
        <f t="shared" si="65"/>
        <v>13855.9</v>
      </c>
      <c r="F171" s="73">
        <f t="shared" si="52"/>
        <v>0</v>
      </c>
      <c r="G171" s="74"/>
      <c r="H171" s="72"/>
      <c r="I171" s="73">
        <f t="shared" si="53"/>
        <v>0</v>
      </c>
      <c r="J171" s="75">
        <v>0</v>
      </c>
      <c r="K171" s="74">
        <v>0</v>
      </c>
      <c r="L171" s="76">
        <f t="shared" si="54"/>
        <v>0</v>
      </c>
      <c r="M171" s="74">
        <v>0</v>
      </c>
      <c r="N171" s="77">
        <v>0</v>
      </c>
      <c r="O171" s="73">
        <f t="shared" si="55"/>
        <v>0</v>
      </c>
      <c r="P171" s="78">
        <v>13815.5</v>
      </c>
      <c r="Q171" s="72">
        <f t="shared" si="51"/>
        <v>13815.5</v>
      </c>
      <c r="R171" s="76">
        <f t="shared" si="56"/>
        <v>0</v>
      </c>
      <c r="S171" s="75">
        <f>24+16.4</f>
        <v>40.4</v>
      </c>
      <c r="T171" s="74">
        <f>24+16.4</f>
        <v>40.4</v>
      </c>
      <c r="U171" s="73">
        <f t="shared" si="57"/>
        <v>0</v>
      </c>
      <c r="V171" s="71">
        <f t="shared" si="66"/>
        <v>14050.2</v>
      </c>
      <c r="W171" s="72">
        <f t="shared" si="66"/>
        <v>14050.2</v>
      </c>
      <c r="X171" s="73">
        <f t="shared" si="59"/>
        <v>0</v>
      </c>
      <c r="Y171" s="75">
        <v>11369.4</v>
      </c>
      <c r="Z171" s="74">
        <v>11369.4</v>
      </c>
      <c r="AA171" s="73">
        <f t="shared" si="60"/>
        <v>0</v>
      </c>
      <c r="AB171" s="71">
        <v>2676.8000000000011</v>
      </c>
      <c r="AC171" s="72">
        <v>2676.8000000000011</v>
      </c>
      <c r="AD171" s="73">
        <f t="shared" si="61"/>
        <v>0</v>
      </c>
      <c r="AE171" s="71"/>
      <c r="AF171" s="72"/>
      <c r="AG171" s="73">
        <f t="shared" si="62"/>
        <v>0</v>
      </c>
      <c r="AH171" s="75">
        <v>4</v>
      </c>
      <c r="AI171" s="74">
        <v>4</v>
      </c>
      <c r="AJ171" s="73">
        <f t="shared" si="63"/>
        <v>0</v>
      </c>
      <c r="AL171" s="79"/>
      <c r="AM171" s="79"/>
    </row>
    <row r="172" spans="1:39" ht="21" customHeight="1">
      <c r="A172" s="68">
        <v>156</v>
      </c>
      <c r="B172" s="80" t="s">
        <v>183</v>
      </c>
      <c r="C172" s="70">
        <v>7134.9</v>
      </c>
      <c r="D172" s="71">
        <f t="shared" si="64"/>
        <v>17859.8</v>
      </c>
      <c r="E172" s="72">
        <f t="shared" si="65"/>
        <v>17859.8</v>
      </c>
      <c r="F172" s="73">
        <f t="shared" si="52"/>
        <v>0</v>
      </c>
      <c r="G172" s="74"/>
      <c r="H172" s="72"/>
      <c r="I172" s="73">
        <f t="shared" si="53"/>
        <v>0</v>
      </c>
      <c r="J172" s="75">
        <v>0</v>
      </c>
      <c r="K172" s="74">
        <v>0</v>
      </c>
      <c r="L172" s="76">
        <f t="shared" si="54"/>
        <v>0</v>
      </c>
      <c r="M172" s="74">
        <v>0</v>
      </c>
      <c r="N172" s="77">
        <v>0</v>
      </c>
      <c r="O172" s="73">
        <f t="shared" si="55"/>
        <v>0</v>
      </c>
      <c r="P172" s="78">
        <v>17470.8</v>
      </c>
      <c r="Q172" s="72">
        <f t="shared" si="51"/>
        <v>17470.8</v>
      </c>
      <c r="R172" s="76">
        <f t="shared" si="56"/>
        <v>0</v>
      </c>
      <c r="S172" s="75">
        <f>388.8+0.2</f>
        <v>389</v>
      </c>
      <c r="T172" s="74">
        <f>388.8+0.2</f>
        <v>389</v>
      </c>
      <c r="U172" s="73">
        <f t="shared" si="57"/>
        <v>0</v>
      </c>
      <c r="V172" s="71">
        <f t="shared" si="66"/>
        <v>18781</v>
      </c>
      <c r="W172" s="72">
        <f t="shared" si="66"/>
        <v>18781</v>
      </c>
      <c r="X172" s="73">
        <f t="shared" si="59"/>
        <v>0</v>
      </c>
      <c r="Y172" s="75">
        <v>13523.9</v>
      </c>
      <c r="Z172" s="74">
        <v>13523.9</v>
      </c>
      <c r="AA172" s="73">
        <f t="shared" si="60"/>
        <v>0</v>
      </c>
      <c r="AB172" s="71">
        <v>5239.5000000000018</v>
      </c>
      <c r="AC172" s="72">
        <v>5239.5000000000018</v>
      </c>
      <c r="AD172" s="73">
        <f t="shared" si="61"/>
        <v>0</v>
      </c>
      <c r="AE172" s="71"/>
      <c r="AF172" s="72"/>
      <c r="AG172" s="73">
        <f t="shared" si="62"/>
        <v>0</v>
      </c>
      <c r="AH172" s="75">
        <v>17.600000000000001</v>
      </c>
      <c r="AI172" s="74">
        <v>17.600000000000001</v>
      </c>
      <c r="AJ172" s="73">
        <f t="shared" si="63"/>
        <v>0</v>
      </c>
      <c r="AL172" s="79"/>
      <c r="AM172" s="79"/>
    </row>
    <row r="173" spans="1:39" ht="32.25" customHeight="1">
      <c r="A173" s="68">
        <v>157</v>
      </c>
      <c r="B173" s="69" t="s">
        <v>190</v>
      </c>
      <c r="C173" s="70">
        <v>28066.799999999999</v>
      </c>
      <c r="D173" s="71">
        <f t="shared" si="64"/>
        <v>25275.9</v>
      </c>
      <c r="E173" s="72">
        <f t="shared" si="65"/>
        <v>25275.9</v>
      </c>
      <c r="F173" s="73">
        <f>D173-E173</f>
        <v>0</v>
      </c>
      <c r="G173" s="74"/>
      <c r="H173" s="72"/>
      <c r="I173" s="73">
        <f>G173-H173</f>
        <v>0</v>
      </c>
      <c r="J173" s="75">
        <v>0</v>
      </c>
      <c r="K173" s="74">
        <v>0</v>
      </c>
      <c r="L173" s="76">
        <f>J173-K173</f>
        <v>0</v>
      </c>
      <c r="M173" s="74">
        <v>0</v>
      </c>
      <c r="N173" s="77">
        <v>0</v>
      </c>
      <c r="O173" s="73">
        <f>M173-N173</f>
        <v>0</v>
      </c>
      <c r="P173" s="78">
        <v>25055.9</v>
      </c>
      <c r="Q173" s="72">
        <f t="shared" si="51"/>
        <v>25055.9</v>
      </c>
      <c r="R173" s="76">
        <f>P173-Q173</f>
        <v>0</v>
      </c>
      <c r="S173" s="75">
        <v>220</v>
      </c>
      <c r="T173" s="74">
        <v>220</v>
      </c>
      <c r="U173" s="73">
        <f>S173-T173</f>
        <v>0</v>
      </c>
      <c r="V173" s="71">
        <f t="shared" si="66"/>
        <v>24185.9</v>
      </c>
      <c r="W173" s="72">
        <f t="shared" si="66"/>
        <v>24185.9</v>
      </c>
      <c r="X173" s="73">
        <f>V173-W173</f>
        <v>0</v>
      </c>
      <c r="Y173" s="75">
        <v>16796.2</v>
      </c>
      <c r="Z173" s="74">
        <v>16796.2</v>
      </c>
      <c r="AA173" s="73">
        <f>Y173-Z173</f>
        <v>0</v>
      </c>
      <c r="AB173" s="71">
        <v>7326.2000000000007</v>
      </c>
      <c r="AC173" s="72">
        <v>7326.2000000000007</v>
      </c>
      <c r="AD173" s="73">
        <f>AB173-AC173</f>
        <v>0</v>
      </c>
      <c r="AE173" s="71"/>
      <c r="AF173" s="72"/>
      <c r="AG173" s="73">
        <f>AE173-AF173</f>
        <v>0</v>
      </c>
      <c r="AH173" s="75">
        <v>63.5</v>
      </c>
      <c r="AI173" s="74">
        <v>63.5</v>
      </c>
      <c r="AJ173" s="73">
        <f>AH173-AI173</f>
        <v>0</v>
      </c>
      <c r="AL173" s="79"/>
      <c r="AM173" s="79"/>
    </row>
    <row r="174" spans="1:39" ht="32.25" customHeight="1">
      <c r="A174" s="68">
        <v>158</v>
      </c>
      <c r="B174" s="80" t="s">
        <v>191</v>
      </c>
      <c r="C174" s="83">
        <v>16611.5</v>
      </c>
      <c r="D174" s="71">
        <f t="shared" si="64"/>
        <v>21152</v>
      </c>
      <c r="E174" s="72">
        <f t="shared" si="65"/>
        <v>21152</v>
      </c>
      <c r="F174" s="73">
        <f>D174-E174</f>
        <v>0</v>
      </c>
      <c r="G174" s="84"/>
      <c r="H174" s="72"/>
      <c r="I174" s="73">
        <f>G174-H174</f>
        <v>0</v>
      </c>
      <c r="J174" s="75">
        <v>8.6</v>
      </c>
      <c r="K174" s="74">
        <v>8.6</v>
      </c>
      <c r="L174" s="76">
        <f>J174-K174</f>
        <v>0</v>
      </c>
      <c r="M174" s="74">
        <v>0</v>
      </c>
      <c r="N174" s="77">
        <v>0</v>
      </c>
      <c r="O174" s="73">
        <f>M174-N174</f>
        <v>0</v>
      </c>
      <c r="P174" s="78">
        <v>21084.400000000001</v>
      </c>
      <c r="Q174" s="72">
        <f t="shared" si="51"/>
        <v>21084.400000000001</v>
      </c>
      <c r="R174" s="76">
        <f>P174-Q174</f>
        <v>0</v>
      </c>
      <c r="S174" s="75">
        <v>59</v>
      </c>
      <c r="T174" s="74">
        <v>59</v>
      </c>
      <c r="U174" s="73">
        <f>S174-T174</f>
        <v>0</v>
      </c>
      <c r="V174" s="71">
        <f t="shared" si="66"/>
        <v>21132.3</v>
      </c>
      <c r="W174" s="72">
        <f t="shared" si="66"/>
        <v>21132.3</v>
      </c>
      <c r="X174" s="73">
        <f>V174-W174</f>
        <v>0</v>
      </c>
      <c r="Y174" s="75">
        <v>14371.9</v>
      </c>
      <c r="Z174" s="74">
        <v>14371.9</v>
      </c>
      <c r="AA174" s="73">
        <f>Y174-Z174</f>
        <v>0</v>
      </c>
      <c r="AB174" s="71">
        <v>6710.4</v>
      </c>
      <c r="AC174" s="72">
        <v>6710.4</v>
      </c>
      <c r="AD174" s="73">
        <f>AB174-AC174</f>
        <v>0</v>
      </c>
      <c r="AE174" s="71"/>
      <c r="AF174" s="72"/>
      <c r="AG174" s="73">
        <f>AE174-AF174</f>
        <v>0</v>
      </c>
      <c r="AH174" s="75">
        <v>50</v>
      </c>
      <c r="AI174" s="74">
        <v>50</v>
      </c>
      <c r="AJ174" s="73">
        <f>AH174-AI174</f>
        <v>0</v>
      </c>
      <c r="AL174" s="79"/>
      <c r="AM174" s="79"/>
    </row>
    <row r="175" spans="1:39" ht="32.25" customHeight="1" thickBot="1">
      <c r="A175" s="92">
        <v>159</v>
      </c>
      <c r="B175" s="93" t="s">
        <v>192</v>
      </c>
      <c r="C175" s="94">
        <v>20303.5</v>
      </c>
      <c r="D175" s="95">
        <f t="shared" si="64"/>
        <v>23487.899999999998</v>
      </c>
      <c r="E175" s="96">
        <f t="shared" si="65"/>
        <v>23487.899999999998</v>
      </c>
      <c r="F175" s="97">
        <f>D175-E175</f>
        <v>0</v>
      </c>
      <c r="G175" s="98"/>
      <c r="H175" s="96"/>
      <c r="I175" s="97">
        <f>G175-H175</f>
        <v>0</v>
      </c>
      <c r="J175" s="99">
        <v>129.6</v>
      </c>
      <c r="K175" s="98">
        <v>129.6</v>
      </c>
      <c r="L175" s="100">
        <f>J175-K175</f>
        <v>0</v>
      </c>
      <c r="M175" s="98">
        <v>0</v>
      </c>
      <c r="N175" s="101">
        <v>0</v>
      </c>
      <c r="O175" s="97">
        <f>M175-N175</f>
        <v>0</v>
      </c>
      <c r="P175" s="102">
        <v>23307.8</v>
      </c>
      <c r="Q175" s="96">
        <f t="shared" si="51"/>
        <v>23307.8</v>
      </c>
      <c r="R175" s="100">
        <f>P175-Q175</f>
        <v>0</v>
      </c>
      <c r="S175" s="99">
        <f>40+10.5</f>
        <v>50.5</v>
      </c>
      <c r="T175" s="98">
        <f>40+10.5</f>
        <v>50.5</v>
      </c>
      <c r="U175" s="97">
        <f>S175-T175</f>
        <v>0</v>
      </c>
      <c r="V175" s="95">
        <f t="shared" si="66"/>
        <v>23138.6</v>
      </c>
      <c r="W175" s="96">
        <f t="shared" si="66"/>
        <v>23138.6</v>
      </c>
      <c r="X175" s="97">
        <f>V175-W175</f>
        <v>0</v>
      </c>
      <c r="Y175" s="99">
        <v>16868.8</v>
      </c>
      <c r="Z175" s="98">
        <v>16868.8</v>
      </c>
      <c r="AA175" s="97">
        <f>Y175-Z175</f>
        <v>0</v>
      </c>
      <c r="AB175" s="95">
        <v>6248.2000000000007</v>
      </c>
      <c r="AC175" s="96">
        <v>6248.2000000000007</v>
      </c>
      <c r="AD175" s="97">
        <f>AB175-AC175</f>
        <v>0</v>
      </c>
      <c r="AE175" s="95"/>
      <c r="AF175" s="96"/>
      <c r="AG175" s="97">
        <f>AE175-AF175</f>
        <v>0</v>
      </c>
      <c r="AH175" s="99">
        <v>21.6</v>
      </c>
      <c r="AI175" s="98">
        <v>21.6</v>
      </c>
      <c r="AJ175" s="97">
        <f>AH175-AI175</f>
        <v>0</v>
      </c>
      <c r="AL175" s="79"/>
      <c r="AM175" s="79"/>
    </row>
    <row r="176" spans="1:39" ht="28.5" customHeight="1" thickBot="1">
      <c r="A176" s="103"/>
      <c r="B176" s="104" t="s">
        <v>2</v>
      </c>
      <c r="C176" s="105">
        <f t="shared" ref="C176:AJ176" si="67">SUM(C21:C175)</f>
        <v>1553952.7999999989</v>
      </c>
      <c r="D176" s="105">
        <f t="shared" si="67"/>
        <v>3043265.9000000004</v>
      </c>
      <c r="E176" s="105">
        <f t="shared" si="67"/>
        <v>3043265.9000000004</v>
      </c>
      <c r="F176" s="105">
        <f t="shared" si="67"/>
        <v>0</v>
      </c>
      <c r="G176" s="105">
        <f t="shared" si="67"/>
        <v>0</v>
      </c>
      <c r="H176" s="105">
        <f t="shared" si="67"/>
        <v>0</v>
      </c>
      <c r="I176" s="105">
        <f t="shared" si="67"/>
        <v>0</v>
      </c>
      <c r="J176" s="105">
        <f t="shared" si="67"/>
        <v>14471.499999999998</v>
      </c>
      <c r="K176" s="105">
        <f t="shared" si="67"/>
        <v>14471.499999999998</v>
      </c>
      <c r="L176" s="105">
        <f t="shared" si="67"/>
        <v>0</v>
      </c>
      <c r="M176" s="105">
        <f t="shared" si="67"/>
        <v>16149.6</v>
      </c>
      <c r="N176" s="105">
        <f t="shared" si="67"/>
        <v>16149.6</v>
      </c>
      <c r="O176" s="105">
        <f t="shared" si="67"/>
        <v>0</v>
      </c>
      <c r="P176" s="105">
        <f t="shared" si="67"/>
        <v>2959098.0000000005</v>
      </c>
      <c r="Q176" s="105">
        <f t="shared" si="67"/>
        <v>2959098.0000000005</v>
      </c>
      <c r="R176" s="105">
        <f t="shared" si="67"/>
        <v>0</v>
      </c>
      <c r="S176" s="105">
        <f t="shared" si="67"/>
        <v>53546.799999999996</v>
      </c>
      <c r="T176" s="105">
        <f t="shared" si="67"/>
        <v>53546.799999999996</v>
      </c>
      <c r="U176" s="105">
        <f t="shared" si="67"/>
        <v>0</v>
      </c>
      <c r="V176" s="105">
        <f t="shared" si="67"/>
        <v>3211243.9999999981</v>
      </c>
      <c r="W176" s="105">
        <f t="shared" si="67"/>
        <v>3211243.9999999981</v>
      </c>
      <c r="X176" s="105">
        <f t="shared" si="67"/>
        <v>0</v>
      </c>
      <c r="Y176" s="105">
        <f t="shared" si="67"/>
        <v>2674228.0000000014</v>
      </c>
      <c r="Z176" s="105">
        <f t="shared" si="67"/>
        <v>2674228.0000000014</v>
      </c>
      <c r="AA176" s="105">
        <f t="shared" si="67"/>
        <v>0</v>
      </c>
      <c r="AB176" s="105">
        <f t="shared" si="67"/>
        <v>515492.39999999991</v>
      </c>
      <c r="AC176" s="105">
        <f t="shared" si="67"/>
        <v>515492.39999999991</v>
      </c>
      <c r="AD176" s="105">
        <f t="shared" si="67"/>
        <v>0</v>
      </c>
      <c r="AE176" s="105">
        <f t="shared" si="67"/>
        <v>0</v>
      </c>
      <c r="AF176" s="105">
        <f t="shared" si="67"/>
        <v>0</v>
      </c>
      <c r="AG176" s="105">
        <f t="shared" si="67"/>
        <v>0</v>
      </c>
      <c r="AH176" s="105">
        <f t="shared" si="67"/>
        <v>21523.599999999995</v>
      </c>
      <c r="AI176" s="105">
        <f t="shared" si="67"/>
        <v>21523.599999999995</v>
      </c>
      <c r="AJ176" s="105">
        <f t="shared" si="67"/>
        <v>0</v>
      </c>
      <c r="AL176" s="79"/>
    </row>
    <row r="178" spans="3:35" ht="15.75">
      <c r="AH178" s="106"/>
      <c r="AI178" s="107"/>
    </row>
    <row r="179" spans="3:35" ht="27.75" customHeight="1">
      <c r="O179" s="108"/>
      <c r="V179" s="109"/>
      <c r="Y179" s="110" t="s">
        <v>60</v>
      </c>
      <c r="Z179" s="1"/>
      <c r="AE179" s="111"/>
      <c r="AF179" s="111"/>
      <c r="AH179" s="112" t="s">
        <v>32</v>
      </c>
      <c r="AI179" s="112"/>
    </row>
    <row r="180" spans="3:35" ht="13.5" customHeight="1">
      <c r="O180" s="106"/>
      <c r="U180" s="113"/>
      <c r="V180" s="109"/>
      <c r="Z180" s="1"/>
      <c r="AE180" s="114" t="s">
        <v>16</v>
      </c>
      <c r="AF180" s="114"/>
      <c r="AH180" s="115" t="s">
        <v>61</v>
      </c>
      <c r="AI180" s="115"/>
    </row>
    <row r="181" spans="3:35" ht="52.5" customHeight="1">
      <c r="O181" s="108"/>
      <c r="V181" s="116"/>
      <c r="X181" s="116"/>
      <c r="Y181" s="117" t="s">
        <v>62</v>
      </c>
      <c r="Z181" s="117"/>
      <c r="AA181" s="117"/>
      <c r="AB181" s="117"/>
      <c r="AC181" s="117"/>
      <c r="AE181" s="111"/>
      <c r="AF181" s="111"/>
      <c r="AH181" s="112" t="s">
        <v>33</v>
      </c>
      <c r="AI181" s="112"/>
    </row>
    <row r="182" spans="3:35" ht="15.75" customHeight="1">
      <c r="AE182" s="114" t="s">
        <v>16</v>
      </c>
      <c r="AF182" s="114"/>
      <c r="AH182" s="115" t="s">
        <v>61</v>
      </c>
      <c r="AI182" s="115"/>
    </row>
    <row r="184" spans="3:35" ht="16.5" customHeight="1"/>
    <row r="185" spans="3:35" s="4" customFormat="1" ht="14.25">
      <c r="C185" s="118"/>
      <c r="D185" s="118"/>
      <c r="M185" s="119"/>
      <c r="N185" s="119"/>
      <c r="O185" s="15"/>
      <c r="T185" s="120"/>
      <c r="V185" s="118"/>
      <c r="AB185" s="119"/>
    </row>
    <row r="186" spans="3:35" s="4" customFormat="1">
      <c r="C186" s="119"/>
      <c r="M186" s="119"/>
      <c r="N186" s="119"/>
      <c r="O186" s="15"/>
      <c r="S186" s="119"/>
      <c r="T186" s="120"/>
      <c r="V186" s="119"/>
    </row>
    <row r="187" spans="3:35" s="4" customFormat="1">
      <c r="C187" s="119"/>
      <c r="D187" s="119"/>
      <c r="G187" s="119"/>
      <c r="J187" s="119"/>
      <c r="M187" s="119"/>
      <c r="N187" s="119"/>
      <c r="O187" s="15"/>
      <c r="P187" s="119"/>
      <c r="S187" s="119"/>
      <c r="T187" s="120"/>
      <c r="V187" s="119"/>
      <c r="AB187" s="119"/>
    </row>
    <row r="188" spans="3:35">
      <c r="M188" s="119"/>
      <c r="N188" s="119"/>
      <c r="V188" s="119"/>
      <c r="Y188" s="119"/>
      <c r="AB188" s="119"/>
      <c r="AH188" s="119"/>
    </row>
    <row r="189" spans="3:35">
      <c r="M189" s="119"/>
      <c r="N189" s="119"/>
    </row>
    <row r="190" spans="3:35">
      <c r="M190" s="119"/>
      <c r="N190" s="119"/>
    </row>
  </sheetData>
  <sheetProtection password="CC39" sheet="1" objects="1" scenarios="1"/>
  <mergeCells count="28">
    <mergeCell ref="A11:I11"/>
    <mergeCell ref="C13:F13"/>
    <mergeCell ref="A17:A19"/>
    <mergeCell ref="B17:B19"/>
    <mergeCell ref="C17:C19"/>
    <mergeCell ref="D17:F18"/>
    <mergeCell ref="G17:I17"/>
    <mergeCell ref="G18:I18"/>
    <mergeCell ref="J17:U17"/>
    <mergeCell ref="V17:X18"/>
    <mergeCell ref="Y17:AJ17"/>
    <mergeCell ref="J18:L18"/>
    <mergeCell ref="M18:O18"/>
    <mergeCell ref="Y181:AC181"/>
    <mergeCell ref="AE181:AF181"/>
    <mergeCell ref="AH181:AI181"/>
    <mergeCell ref="P18:R18"/>
    <mergeCell ref="S18:U18"/>
    <mergeCell ref="Y18:AA18"/>
    <mergeCell ref="AB18:AD18"/>
    <mergeCell ref="AE18:AG18"/>
    <mergeCell ref="AH18:AJ18"/>
    <mergeCell ref="AE182:AF182"/>
    <mergeCell ref="AH182:AI182"/>
    <mergeCell ref="AE179:AF179"/>
    <mergeCell ref="AH179:AI179"/>
    <mergeCell ref="AE180:AF180"/>
    <mergeCell ref="AH180:AI180"/>
  </mergeCells>
  <pageMargins left="0.15748031496062992" right="0.15748031496062992" top="0.15748031496062992" bottom="0.15748031496062992" header="0.15748031496062992" footer="0.1968503937007874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Dzev 3 Շեղում (2)</vt:lpstr>
      <vt:lpstr>'Dzev 3 Շեղում (2)'!Print_Area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tnarine</dc:creator>
  <cp:lastModifiedBy>meri.markosyan</cp:lastModifiedBy>
  <cp:lastPrinted>2018-04-27T11:47:53Z</cp:lastPrinted>
  <dcterms:created xsi:type="dcterms:W3CDTF">2012-10-12T11:29:17Z</dcterms:created>
  <dcterms:modified xsi:type="dcterms:W3CDTF">2018-05-17T11:36:44Z</dcterms:modified>
</cp:coreProperties>
</file>